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5" yWindow="15" windowWidth="21720" windowHeight="12120" activeTab="1"/>
  </bookViews>
  <sheets>
    <sheet name="Revisions" sheetId="10" r:id="rId1"/>
    <sheet name="Nomenclature" sheetId="1" r:id="rId2"/>
    <sheet name="Example 15-1" sheetId="5" r:id="rId3"/>
    <sheet name="Example 15-2" sheetId="4" r:id="rId4"/>
    <sheet name="Example 15-3" sheetId="2" r:id="rId5"/>
    <sheet name="Example 15-4" sheetId="3" r:id="rId6"/>
    <sheet name="Limits" sheetId="6" r:id="rId7"/>
    <sheet name="Figure 15-3" sheetId="7" r:id="rId8"/>
    <sheet name="Figure 24-31" sheetId="9" r:id="rId9"/>
  </sheets>
  <definedNames>
    <definedName name="Figure15_3">'Figure 15-3'!$A$8:$O$75</definedName>
    <definedName name="Machine">'Figure 15-3'!$A$8:$A$75</definedName>
    <definedName name="SaturatedSteamPressure">'Figure 24-31'!$B$7:$I$54</definedName>
  </definedNames>
  <calcPr calcId="145621"/>
  <customWorkbookViews>
    <customWorkbookView name="Howard S. Meyer - Personal View" guid="{4F8C502A-1B49-4129-81FD-D7C5FEE19727}" mergeInterval="0" personalView="1" maximized="1" xWindow="1" yWindow="1" windowWidth="1436" windowHeight="548" activeSheetId="1"/>
  </customWorkbookViews>
</workbook>
</file>

<file path=xl/calcChain.xml><?xml version="1.0" encoding="utf-8"?>
<calcChain xmlns="http://schemas.openxmlformats.org/spreadsheetml/2006/main">
  <c r="I25" i="4" l="1"/>
  <c r="A25" i="4"/>
  <c r="I23" i="4"/>
  <c r="A23" i="4"/>
  <c r="I21" i="4"/>
  <c r="A21" i="4"/>
  <c r="A19" i="4"/>
  <c r="I19" i="4"/>
  <c r="A58" i="2"/>
  <c r="C58" i="2"/>
  <c r="I33" i="2"/>
  <c r="A33" i="2"/>
  <c r="A27" i="2"/>
  <c r="A22" i="3"/>
  <c r="I22" i="3"/>
  <c r="A19" i="3"/>
  <c r="I19" i="3"/>
  <c r="I47" i="3" l="1"/>
  <c r="L47" i="3"/>
  <c r="I44" i="3"/>
  <c r="K44" i="3"/>
  <c r="J74" i="2"/>
  <c r="K69" i="2"/>
  <c r="J40" i="2"/>
  <c r="J39" i="2"/>
  <c r="J38" i="2"/>
  <c r="J37" i="2"/>
  <c r="I30" i="2"/>
  <c r="L30" i="2"/>
  <c r="K15" i="5"/>
  <c r="K16" i="5" s="1"/>
  <c r="M24" i="2" l="1"/>
  <c r="I27" i="2" s="1"/>
  <c r="K37" i="4"/>
  <c r="K36" i="4"/>
  <c r="K35" i="4"/>
  <c r="I27" i="4"/>
  <c r="J26" i="4"/>
  <c r="J24" i="4"/>
  <c r="J22" i="4"/>
  <c r="J20" i="4"/>
  <c r="K23" i="5"/>
  <c r="K22" i="5"/>
  <c r="K21" i="5"/>
  <c r="K20" i="5"/>
  <c r="K19" i="5"/>
  <c r="K17" i="5"/>
  <c r="J30" i="3" l="1"/>
  <c r="B42" i="4" l="1"/>
  <c r="J32" i="4"/>
  <c r="B32" i="4"/>
  <c r="B59" i="3"/>
  <c r="A60" i="3" s="1"/>
  <c r="B61" i="3"/>
  <c r="K57" i="2"/>
  <c r="C57" i="2"/>
  <c r="J44" i="2"/>
  <c r="A51" i="2"/>
  <c r="L61" i="2"/>
  <c r="K95" i="2"/>
  <c r="J59" i="3"/>
  <c r="J61" i="3" s="1"/>
  <c r="I58" i="3"/>
  <c r="A58" i="3"/>
  <c r="A47" i="3"/>
  <c r="A44" i="3"/>
  <c r="I95" i="2"/>
  <c r="C95" i="2"/>
  <c r="A95" i="2"/>
  <c r="M92" i="2"/>
  <c r="K92" i="2"/>
  <c r="E92" i="2"/>
  <c r="C92" i="2"/>
  <c r="I79" i="2"/>
  <c r="A79" i="2"/>
  <c r="K74" i="2"/>
  <c r="C74" i="2"/>
  <c r="C69" i="2"/>
  <c r="I61" i="2"/>
  <c r="D61" i="2"/>
  <c r="A61" i="2"/>
  <c r="B44" i="2"/>
  <c r="I58" i="2" l="1"/>
  <c r="K58" i="2"/>
  <c r="I60" i="3"/>
  <c r="J45" i="2"/>
  <c r="B45" i="2"/>
  <c r="B47" i="2" s="1"/>
  <c r="I46" i="2" l="1"/>
  <c r="J47" i="2"/>
  <c r="J49" i="2" s="1"/>
  <c r="J54" i="2" s="1"/>
  <c r="A46" i="2"/>
  <c r="B49" i="2"/>
  <c r="A48" i="2"/>
  <c r="J63" i="2" l="1"/>
  <c r="I63" i="2"/>
  <c r="I48" i="2"/>
  <c r="I96" i="2"/>
  <c r="K96" i="2"/>
  <c r="I97" i="2" s="1"/>
  <c r="J83" i="2"/>
  <c r="B83" i="2"/>
  <c r="B54" i="2"/>
  <c r="A52" i="2"/>
  <c r="I64" i="2" l="1"/>
  <c r="K64" i="2"/>
  <c r="J75" i="2" s="1"/>
  <c r="B87" i="2"/>
  <c r="B85" i="2"/>
  <c r="A90" i="2" s="1"/>
  <c r="A96" i="2"/>
  <c r="A63" i="2"/>
  <c r="C96" i="2"/>
  <c r="B63" i="2"/>
  <c r="J87" i="2"/>
  <c r="J85" i="2"/>
  <c r="I90" i="2" s="1"/>
  <c r="J97" i="2"/>
  <c r="A64" i="2" l="1"/>
  <c r="C64" i="2"/>
  <c r="A97" i="2"/>
  <c r="B97" i="2"/>
  <c r="B75" i="2" l="1"/>
  <c r="B70" i="2"/>
  <c r="J70" i="2"/>
  <c r="J30" i="5" l="1"/>
  <c r="I29" i="5"/>
  <c r="J28" i="5"/>
  <c r="I27" i="5"/>
  <c r="B28" i="5"/>
  <c r="A27" i="4"/>
  <c r="J42" i="4"/>
  <c r="J32" i="5" l="1"/>
  <c r="I31" i="5"/>
  <c r="B30" i="3" l="1"/>
  <c r="I43" i="2"/>
  <c r="I36" i="2"/>
  <c r="K24" i="5" l="1"/>
  <c r="C24" i="5"/>
  <c r="A27" i="5"/>
  <c r="B30" i="5"/>
  <c r="A29" i="5"/>
  <c r="J41" i="4"/>
  <c r="J40" i="4"/>
  <c r="J31" i="4"/>
  <c r="J30" i="4"/>
  <c r="B41" i="4"/>
  <c r="B40" i="4"/>
  <c r="B31" i="4"/>
  <c r="B30" i="4"/>
  <c r="I29" i="3"/>
  <c r="A29" i="3"/>
  <c r="A43" i="2"/>
  <c r="A36" i="2"/>
  <c r="A31" i="5"/>
  <c r="J31" i="3"/>
  <c r="I32" i="3" s="1"/>
  <c r="A33" i="5" l="1"/>
  <c r="B32" i="5"/>
  <c r="J33" i="3"/>
  <c r="I33" i="5"/>
  <c r="J34" i="5"/>
  <c r="J36" i="5" s="1"/>
  <c r="B34" i="5"/>
  <c r="B36" i="5" s="1"/>
  <c r="B31" i="3"/>
  <c r="A35" i="5" l="1"/>
  <c r="I35" i="5"/>
  <c r="I34" i="3"/>
  <c r="J35" i="3"/>
  <c r="B33" i="3"/>
  <c r="A32" i="3"/>
  <c r="B35" i="3" l="1"/>
  <c r="A34" i="3"/>
  <c r="I38" i="3"/>
  <c r="J40" i="3"/>
  <c r="I50" i="3" l="1"/>
  <c r="J51" i="3"/>
  <c r="B40" i="3"/>
  <c r="A38" i="3"/>
  <c r="J53" i="3" l="1"/>
  <c r="I52" i="3"/>
  <c r="A50" i="3"/>
  <c r="B51" i="3"/>
  <c r="A52" i="3" l="1"/>
  <c r="B53" i="3"/>
</calcChain>
</file>

<file path=xl/sharedStrings.xml><?xml version="1.0" encoding="utf-8"?>
<sst xmlns="http://schemas.openxmlformats.org/spreadsheetml/2006/main" count="1072" uniqueCount="411">
  <si>
    <t>D</t>
  </si>
  <si>
    <t>ρ</t>
  </si>
  <si>
    <t>F</t>
  </si>
  <si>
    <t>=</t>
  </si>
  <si>
    <t>P</t>
  </si>
  <si>
    <t>S</t>
  </si>
  <si>
    <t>Nomenclature</t>
  </si>
  <si>
    <t>°F</t>
  </si>
  <si>
    <t>psia</t>
  </si>
  <si>
    <t>A</t>
  </si>
  <si>
    <t>ASR</t>
  </si>
  <si>
    <t>BMEP</t>
  </si>
  <si>
    <t>N</t>
  </si>
  <si>
    <t>s</t>
  </si>
  <si>
    <r>
      <t>s</t>
    </r>
    <r>
      <rPr>
        <vertAlign val="subscript"/>
        <sz val="10"/>
        <rFont val="Times New Roman"/>
        <family val="1"/>
      </rPr>
      <t>f</t>
    </r>
  </si>
  <si>
    <r>
      <t>s</t>
    </r>
    <r>
      <rPr>
        <vertAlign val="subscript"/>
        <sz val="10"/>
        <rFont val="Times New Roman"/>
        <family val="1"/>
      </rPr>
      <t>g</t>
    </r>
  </si>
  <si>
    <t>TSR</t>
  </si>
  <si>
    <t>v</t>
  </si>
  <si>
    <t>f</t>
  </si>
  <si>
    <t>h</t>
  </si>
  <si>
    <r>
      <t>h</t>
    </r>
    <r>
      <rPr>
        <vertAlign val="subscript"/>
        <sz val="10"/>
        <rFont val="Times New Roman"/>
        <family val="1"/>
      </rPr>
      <t>f</t>
    </r>
  </si>
  <si>
    <r>
      <t>h</t>
    </r>
    <r>
      <rPr>
        <vertAlign val="subscript"/>
        <sz val="10"/>
        <rFont val="Times New Roman"/>
        <family val="1"/>
      </rPr>
      <t>g</t>
    </r>
  </si>
  <si>
    <t>area, sq in.</t>
  </si>
  <si>
    <t>actual steam rate, lb/(hp • hr)</t>
  </si>
  <si>
    <t>break mean effective pressure, psi</t>
  </si>
  <si>
    <t>diameter, in.</t>
  </si>
  <si>
    <t>steam low, lb/hr</t>
  </si>
  <si>
    <t>frequency, Hz</t>
  </si>
  <si>
    <t>specific enthalpy of superheated steam, Btu/lb</t>
  </si>
  <si>
    <t>specific enthalpy of saturated water, Btu/lb</t>
  </si>
  <si>
    <t>specific enthalpy of saturated steam, Btu/lb</t>
  </si>
  <si>
    <t>number of power strokes per min</t>
  </si>
  <si>
    <t>number of magnetic poles in motor</t>
  </si>
  <si>
    <t>specific entropy of superheated steam, Btu/(lb • °F)</t>
  </si>
  <si>
    <t>specific entropy of saturated water, Btu/(lb • °F)</t>
  </si>
  <si>
    <t>specific entropy of saturated steam, Btu/(lb • °F)</t>
  </si>
  <si>
    <t>piston stroke, ft</t>
  </si>
  <si>
    <t>theoretical steam rate, lb/(hp • hr)</t>
  </si>
  <si>
    <t>velocity, ft/sec</t>
  </si>
  <si>
    <t>density, lb/cu ft</t>
  </si>
  <si>
    <t>KEY</t>
  </si>
  <si>
    <t>Example calculation from the book</t>
  </si>
  <si>
    <t>Application worksheet for user to fill out</t>
  </si>
  <si>
    <t>FIG. 15-1</t>
  </si>
  <si>
    <t>Example 15-1</t>
  </si>
  <si>
    <t>Example 15-2</t>
  </si>
  <si>
    <t>Given a steam turbine application with the following characterisics:</t>
  </si>
  <si>
    <t>Inlet Pressure</t>
  </si>
  <si>
    <t>Inlet Temperature</t>
  </si>
  <si>
    <t>Exhaust Pressure</t>
  </si>
  <si>
    <t>Required Horsepower</t>
  </si>
  <si>
    <t>Speed</t>
  </si>
  <si>
    <t>rpm</t>
  </si>
  <si>
    <t>Determine</t>
  </si>
  <si>
    <t>The actual steam rate (ASR)</t>
  </si>
  <si>
    <t>The inlet and exhaust nozzle diameters</t>
  </si>
  <si>
    <t>The approximate number of stages</t>
  </si>
  <si>
    <t>Btu/(lb • °F)</t>
  </si>
  <si>
    <t>s =</t>
  </si>
  <si>
    <t>h =</t>
  </si>
  <si>
    <t>Btu/lb</t>
  </si>
  <si>
    <r>
      <t>s</t>
    </r>
    <r>
      <rPr>
        <vertAlign val="subscript"/>
        <sz val="11"/>
        <rFont val="Times New Roman"/>
        <family val="1"/>
      </rPr>
      <t>f</t>
    </r>
    <r>
      <rPr>
        <sz val="11"/>
        <rFont val="Times New Roman"/>
        <family val="1"/>
      </rPr>
      <t xml:space="preserve"> =</t>
    </r>
  </si>
  <si>
    <r>
      <t>s</t>
    </r>
    <r>
      <rPr>
        <vertAlign val="subscript"/>
        <sz val="11"/>
        <rFont val="Times New Roman"/>
        <family val="1"/>
      </rPr>
      <t>g</t>
    </r>
    <r>
      <rPr>
        <sz val="11"/>
        <rFont val="Times New Roman"/>
        <family val="1"/>
      </rPr>
      <t xml:space="preserve"> =</t>
    </r>
  </si>
  <si>
    <r>
      <t>h</t>
    </r>
    <r>
      <rPr>
        <vertAlign val="subscript"/>
        <sz val="11"/>
        <rFont val="Times New Roman"/>
        <family val="1"/>
      </rPr>
      <t>f</t>
    </r>
    <r>
      <rPr>
        <sz val="11"/>
        <rFont val="Times New Roman"/>
        <family val="1"/>
      </rPr>
      <t xml:space="preserve"> =</t>
    </r>
  </si>
  <si>
    <r>
      <t>h</t>
    </r>
    <r>
      <rPr>
        <vertAlign val="subscript"/>
        <sz val="11"/>
        <rFont val="Times New Roman"/>
        <family val="1"/>
      </rPr>
      <t>g</t>
    </r>
    <r>
      <rPr>
        <sz val="11"/>
        <rFont val="Times New Roman"/>
        <family val="1"/>
      </rPr>
      <t xml:space="preserve"> =</t>
    </r>
  </si>
  <si>
    <t>Letting x equal the liquid fraction in the exhaust, and equating the inlet and exhaust entropies:</t>
  </si>
  <si>
    <t>x =</t>
  </si>
  <si>
    <t>1 - x =</t>
  </si>
  <si>
    <t xml:space="preserve"> (vapor fraction in the exhaust)</t>
  </si>
  <si>
    <t>Substituting Btu = (hp • hr)/2544:</t>
  </si>
  <si>
    <t>TSR = the absolute value of the inverse of the enthalpy change</t>
  </si>
  <si>
    <t>lb/(hp • hr)</t>
  </si>
  <si>
    <t>Basic efficiency =</t>
  </si>
  <si>
    <t>Determine the ASR and total steam requirements for a multi-stage turbine and a single stage turbine at the following conditions:</t>
  </si>
  <si>
    <t>psig</t>
  </si>
  <si>
    <t>Outlet Pressure</t>
  </si>
  <si>
    <t>Horsepower</t>
  </si>
  <si>
    <t>hp</t>
  </si>
  <si>
    <t>For a multi-stage turbine:</t>
  </si>
  <si>
    <t>Application 15-3</t>
  </si>
  <si>
    <t>Calculate maximum available site power and heat rate for the example gas turbine at the following conditions:</t>
  </si>
  <si>
    <t>Turbine ISO Horsepower</t>
  </si>
  <si>
    <t>Turbine ISO Heat Rate</t>
  </si>
  <si>
    <t>Btu/(hp • hr)</t>
  </si>
  <si>
    <t>Ambient Temperature</t>
  </si>
  <si>
    <t>Altitude</t>
  </si>
  <si>
    <t>ft  (above sea level)</t>
  </si>
  <si>
    <t>Inlet Pressure Drop</t>
  </si>
  <si>
    <t>Exhaust Pressure Drop</t>
  </si>
  <si>
    <t>Relative Humidity</t>
  </si>
  <si>
    <t>Fuel</t>
  </si>
  <si>
    <t>Natural Gas</t>
  </si>
  <si>
    <r>
      <t>in. H</t>
    </r>
    <r>
      <rPr>
        <vertAlign val="subscript"/>
        <sz val="11"/>
        <rFont val="Times New Roman"/>
        <family val="1"/>
      </rPr>
      <t>2</t>
    </r>
    <r>
      <rPr>
        <sz val="11"/>
        <rFont val="Times New Roman"/>
        <family val="1"/>
      </rPr>
      <t>O</t>
    </r>
  </si>
  <si>
    <t xml:space="preserve">correction factor is </t>
  </si>
  <si>
    <t>Calculate the maximum available site power by multiplying maximum-no-loss power by each of the correction factors.</t>
  </si>
  <si>
    <t>Power (site) =</t>
  </si>
  <si>
    <t>Exhaust loss factor</t>
  </si>
  <si>
    <t>Temperature factor</t>
  </si>
  <si>
    <t>Inlet loss factor</t>
  </si>
  <si>
    <t>Calculate site heat rate by multiplying no-loss heat rate by the correction factors.</t>
  </si>
  <si>
    <t>Heat rate (site) =</t>
  </si>
  <si>
    <t>Example 15-4</t>
  </si>
  <si>
    <t>Application 15-4</t>
  </si>
  <si>
    <t>RPM</t>
  </si>
  <si>
    <t>Sea level</t>
  </si>
  <si>
    <t>Full power rating</t>
  </si>
  <si>
    <t>Full Power</t>
  </si>
  <si>
    <t>bhp</t>
  </si>
  <si>
    <t>Heat rate</t>
  </si>
  <si>
    <t>Btu/(bhp • hr), LHV</t>
  </si>
  <si>
    <t>Btu/(bhp • hr)</t>
  </si>
  <si>
    <t>Therefore:</t>
  </si>
  <si>
    <t>MMBtu/hr</t>
  </si>
  <si>
    <t>Rotation speed =</t>
  </si>
  <si>
    <t>Inlet air temperature =</t>
  </si>
  <si>
    <t>Altitude =</t>
  </si>
  <si>
    <t xml:space="preserve">Power rating = </t>
  </si>
  <si>
    <t>Water cooling</t>
  </si>
  <si>
    <t>Oil cooling</t>
  </si>
  <si>
    <t>Turbo Intercooling</t>
  </si>
  <si>
    <t>Radiation</t>
  </si>
  <si>
    <t xml:space="preserve">Heat rejected to: </t>
  </si>
  <si>
    <t>Fig. 24-31</t>
  </si>
  <si>
    <t>Saturation Temperature at Inlet Conditions</t>
  </si>
  <si>
    <t xml:space="preserve">The steam rate at a partial load of </t>
  </si>
  <si>
    <t xml:space="preserve"> rpm</t>
  </si>
  <si>
    <t xml:space="preserve"> hp and</t>
  </si>
  <si>
    <t>.</t>
  </si>
  <si>
    <t xml:space="preserve"> (fraction vapor in the exhaust)</t>
  </si>
  <si>
    <t>Solution Steps</t>
  </si>
  <si>
    <t xml:space="preserve">. </t>
  </si>
  <si>
    <t xml:space="preserve">Calculate the thermal efficiency, total heat rejected, and total exhaust heat for a </t>
  </si>
  <si>
    <t>Waukesha L7042GL</t>
  </si>
  <si>
    <t xml:space="preserve"> at:</t>
  </si>
  <si>
    <t>Substituting 1 Btu = (hp • hr)/2544:</t>
  </si>
  <si>
    <t>column 2</t>
  </si>
  <si>
    <t>column 6</t>
  </si>
  <si>
    <t>column 7</t>
  </si>
  <si>
    <t>column 8</t>
  </si>
  <si>
    <t>column 9</t>
  </si>
  <si>
    <t>column 10</t>
  </si>
  <si>
    <t>Application 15-2</t>
  </si>
  <si>
    <t>Application 15-1</t>
  </si>
  <si>
    <t xml:space="preserve">Inlet saturation temperature = </t>
  </si>
  <si>
    <t xml:space="preserve">Superheat efficiency-correction factor = </t>
  </si>
  <si>
    <t xml:space="preserve">Speed efficiency-correction factor = </t>
  </si>
  <si>
    <t>lb/hr</t>
  </si>
  <si>
    <t>The inlet and exhaust diameters may be estimated from the equation:</t>
  </si>
  <si>
    <t>D = √[ ((.051) (F)) / (ρv) ]</t>
  </si>
  <si>
    <t>A reasonable rule of thumb for maximum velocity of the inlet stream is:</t>
  </si>
  <si>
    <t xml:space="preserve"> ft/sec</t>
  </si>
  <si>
    <t xml:space="preserve">ρ = 1/ν = </t>
  </si>
  <si>
    <t>D =</t>
  </si>
  <si>
    <t>in.</t>
  </si>
  <si>
    <t xml:space="preserve">A </t>
  </si>
  <si>
    <t xml:space="preserve"> in. NPS (minimum) inlet nozzle would be selected.</t>
  </si>
  <si>
    <t>A reasonable rule of thumb for maximum velocity of the exhaust stream is:</t>
  </si>
  <si>
    <t>ρ =</t>
  </si>
  <si>
    <t xml:space="preserve"> in. NPS pipe exhaust nozzle would be selected.</t>
  </si>
  <si>
    <t>and</t>
  </si>
  <si>
    <t>stages per 100 Btu/lb</t>
  </si>
  <si>
    <t>of available energy would be acceptable.</t>
  </si>
  <si>
    <t>Available Energy (theoretical) (i.e., the isentropic enthalpy change calculated above)</t>
  </si>
  <si>
    <t>Number of Stages</t>
  </si>
  <si>
    <t>(approximately)</t>
  </si>
  <si>
    <t>or, Number of Stages</t>
  </si>
  <si>
    <t>The higher number of stages would provide increased efficiency but at additional cost.</t>
  </si>
  <si>
    <t>is obtained.  From</t>
  </si>
  <si>
    <t>hp and</t>
  </si>
  <si>
    <t xml:space="preserve"> RPM is</t>
  </si>
  <si>
    <t>estimated to be</t>
  </si>
  <si>
    <t xml:space="preserve"> lb/(hp • hr)</t>
  </si>
  <si>
    <t>Pressure ratio efficiency-correction factor =</t>
  </si>
  <si>
    <t>For a single stage turbine:</t>
  </si>
  <si>
    <t>Approximate Steam Rate =</t>
  </si>
  <si>
    <t>Efficiency-correction factor =</t>
  </si>
  <si>
    <t>Substituting Btu = (hp . hr)/2544</t>
  </si>
  <si>
    <t>Enthalpy change = (-444.2/2544) = (-1/5.727)(hp • hr)/lb</t>
  </si>
  <si>
    <t xml:space="preserve">Btu/(lb • °F) and </t>
  </si>
  <si>
    <t>Btu/(lb • °F) and</t>
  </si>
  <si>
    <t>at:</t>
  </si>
  <si>
    <t xml:space="preserve">Calculate the thermal efficiency, total heat rejected, and total exhaust heat for a  </t>
  </si>
  <si>
    <t>Typical ranges for design parameters for steam turbine types</t>
  </si>
  <si>
    <t>Inlet pressure, psig</t>
  </si>
  <si>
    <t>30-2000</t>
  </si>
  <si>
    <t>saturated - 1000</t>
  </si>
  <si>
    <t>Exhaust pressure, psig</t>
  </si>
  <si>
    <t>saturated - 700</t>
  </si>
  <si>
    <t>Speed, rpm</t>
  </si>
  <si>
    <t>1800-14,000</t>
  </si>
  <si>
    <t>Inlet temperature, °F</t>
  </si>
  <si>
    <t>The sample calculations, equations and spreadsheets presented herein were developed using examples published in the Engineering Data Book as published by the Gas Processor Suppliers Association as a service to the gas processing industry.  All information and calculation formulae has been compiled and edited in cooperation with Gas Processors Association (GPA).</t>
  </si>
  <si>
    <t>HHV</t>
  </si>
  <si>
    <t>Higher heating value, Btu/scf</t>
  </si>
  <si>
    <t>SG</t>
  </si>
  <si>
    <t>Specific gravity relative to air</t>
  </si>
  <si>
    <t>Wobbe index</t>
  </si>
  <si>
    <r>
      <t>W</t>
    </r>
    <r>
      <rPr>
        <vertAlign val="subscript"/>
        <sz val="10"/>
        <rFont val="Times New Roman"/>
        <family val="1"/>
      </rPr>
      <t>n</t>
    </r>
  </si>
  <si>
    <t>Aftercooler</t>
  </si>
  <si>
    <t xml:space="preserve"> </t>
  </si>
  <si>
    <r>
      <t xml:space="preserve"> </t>
    </r>
    <r>
      <rPr>
        <b/>
        <sz val="8"/>
        <color indexed="63"/>
        <rFont val="Arial"/>
        <family val="2"/>
      </rPr>
      <t xml:space="preserve"> Caterpillar </t>
    </r>
    <r>
      <rPr>
        <sz val="10"/>
        <rFont val="Arial"/>
        <family val="2"/>
      </rPr>
      <t xml:space="preserve"> </t>
    </r>
  </si>
  <si>
    <r>
      <t xml:space="preserve"> </t>
    </r>
    <r>
      <rPr>
        <sz val="8"/>
        <color indexed="63"/>
        <rFont val="Arial"/>
        <family val="2"/>
      </rPr>
      <t xml:space="preserve">G3304B NA </t>
    </r>
    <r>
      <rPr>
        <sz val="10"/>
        <rFont val="Arial"/>
        <family val="2"/>
      </rPr>
      <t xml:space="preserve"> </t>
    </r>
  </si>
  <si>
    <r>
      <t xml:space="preserve"> </t>
    </r>
    <r>
      <rPr>
        <sz val="8"/>
        <color indexed="63"/>
        <rFont val="Arial"/>
        <family val="2"/>
      </rPr>
      <t xml:space="preserve">Not Avail. </t>
    </r>
    <r>
      <rPr>
        <sz val="10"/>
        <rFont val="Arial"/>
        <family val="2"/>
      </rPr>
      <t xml:space="preserve"> </t>
    </r>
  </si>
  <si>
    <r>
      <t xml:space="preserve"> </t>
    </r>
    <r>
      <rPr>
        <sz val="8"/>
        <color indexed="63"/>
        <rFont val="Arial"/>
        <family val="2"/>
      </rPr>
      <t xml:space="preserve">N/A </t>
    </r>
    <r>
      <rPr>
        <sz val="10"/>
        <rFont val="Arial"/>
        <family val="2"/>
      </rPr>
      <t xml:space="preserve"> </t>
    </r>
  </si>
  <si>
    <r>
      <t xml:space="preserve"> </t>
    </r>
    <r>
      <rPr>
        <sz val="8"/>
        <color indexed="63"/>
        <rFont val="Arial"/>
        <family val="2"/>
      </rPr>
      <t xml:space="preserve">G3306B NA </t>
    </r>
    <r>
      <rPr>
        <sz val="10"/>
        <rFont val="Arial"/>
        <family val="2"/>
      </rPr>
      <t xml:space="preserve"> </t>
    </r>
  </si>
  <si>
    <r>
      <t xml:space="preserve"> </t>
    </r>
    <r>
      <rPr>
        <sz val="8"/>
        <color indexed="63"/>
        <rFont val="Arial"/>
        <family val="2"/>
      </rPr>
      <t xml:space="preserve">G3306B TA </t>
    </r>
    <r>
      <rPr>
        <sz val="10"/>
        <rFont val="Arial"/>
        <family val="2"/>
      </rPr>
      <t xml:space="preserve"> </t>
    </r>
  </si>
  <si>
    <r>
      <t xml:space="preserve"> </t>
    </r>
    <r>
      <rPr>
        <sz val="8"/>
        <color indexed="63"/>
        <rFont val="Arial"/>
        <family val="2"/>
      </rPr>
      <t xml:space="preserve">G3406 NA </t>
    </r>
    <r>
      <rPr>
        <sz val="10"/>
        <rFont val="Arial"/>
        <family val="2"/>
      </rPr>
      <t xml:space="preserve"> </t>
    </r>
  </si>
  <si>
    <r>
      <t xml:space="preserve"> </t>
    </r>
    <r>
      <rPr>
        <sz val="8"/>
        <color indexed="63"/>
        <rFont val="Arial"/>
        <family val="2"/>
      </rPr>
      <t xml:space="preserve">G3406 TA </t>
    </r>
    <r>
      <rPr>
        <sz val="10"/>
        <rFont val="Arial"/>
        <family val="2"/>
      </rPr>
      <t xml:space="preserve"> </t>
    </r>
  </si>
  <si>
    <r>
      <t xml:space="preserve"> </t>
    </r>
    <r>
      <rPr>
        <sz val="8"/>
        <color indexed="63"/>
        <rFont val="Arial"/>
        <family val="2"/>
      </rPr>
      <t xml:space="preserve">G3408 NA </t>
    </r>
    <r>
      <rPr>
        <sz val="10"/>
        <rFont val="Arial"/>
        <family val="2"/>
      </rPr>
      <t xml:space="preserve"> </t>
    </r>
  </si>
  <si>
    <r>
      <t xml:space="preserve"> </t>
    </r>
    <r>
      <rPr>
        <sz val="8"/>
        <color indexed="63"/>
        <rFont val="Arial"/>
        <family val="2"/>
      </rPr>
      <t xml:space="preserve">G3408 TA </t>
    </r>
    <r>
      <rPr>
        <sz val="10"/>
        <rFont val="Arial"/>
        <family val="2"/>
      </rPr>
      <t xml:space="preserve"> </t>
    </r>
  </si>
  <si>
    <r>
      <t xml:space="preserve"> </t>
    </r>
    <r>
      <rPr>
        <sz val="8"/>
        <color indexed="63"/>
        <rFont val="Arial"/>
        <family val="2"/>
      </rPr>
      <t xml:space="preserve">CG137-8 </t>
    </r>
    <r>
      <rPr>
        <sz val="10"/>
        <rFont val="Arial"/>
        <family val="2"/>
      </rPr>
      <t xml:space="preserve"> </t>
    </r>
  </si>
  <si>
    <r>
      <t xml:space="preserve"> </t>
    </r>
    <r>
      <rPr>
        <sz val="8"/>
        <color indexed="63"/>
        <rFont val="Arial"/>
        <family val="2"/>
      </rPr>
      <t xml:space="preserve">G3408C LE </t>
    </r>
    <r>
      <rPr>
        <sz val="10"/>
        <rFont val="Arial"/>
        <family val="2"/>
      </rPr>
      <t xml:space="preserve"> </t>
    </r>
  </si>
  <si>
    <r>
      <t xml:space="preserve"> </t>
    </r>
    <r>
      <rPr>
        <sz val="8"/>
        <color indexed="63"/>
        <rFont val="Arial"/>
        <family val="2"/>
      </rPr>
      <t xml:space="preserve">G3412 TA </t>
    </r>
    <r>
      <rPr>
        <sz val="10"/>
        <rFont val="Arial"/>
        <family val="2"/>
      </rPr>
      <t xml:space="preserve"> </t>
    </r>
  </si>
  <si>
    <r>
      <t xml:space="preserve"> </t>
    </r>
    <r>
      <rPr>
        <sz val="8"/>
        <color indexed="63"/>
        <rFont val="Arial"/>
        <family val="2"/>
      </rPr>
      <t xml:space="preserve">CG137-12 </t>
    </r>
    <r>
      <rPr>
        <sz val="10"/>
        <rFont val="Arial"/>
        <family val="2"/>
      </rPr>
      <t xml:space="preserve"> </t>
    </r>
  </si>
  <si>
    <r>
      <t xml:space="preserve"> </t>
    </r>
    <r>
      <rPr>
        <sz val="8"/>
        <color indexed="63"/>
        <rFont val="Arial"/>
        <family val="2"/>
      </rPr>
      <t xml:space="preserve">G3412C LE </t>
    </r>
    <r>
      <rPr>
        <sz val="10"/>
        <rFont val="Arial"/>
        <family val="2"/>
      </rPr>
      <t xml:space="preserve"> </t>
    </r>
  </si>
  <si>
    <r>
      <t xml:space="preserve"> </t>
    </r>
    <r>
      <rPr>
        <sz val="8"/>
        <color indexed="63"/>
        <rFont val="Arial"/>
        <family val="2"/>
      </rPr>
      <t xml:space="preserve">G3508 TA </t>
    </r>
    <r>
      <rPr>
        <sz val="10"/>
        <rFont val="Arial"/>
        <family val="2"/>
      </rPr>
      <t xml:space="preserve"> </t>
    </r>
  </si>
  <si>
    <r>
      <t xml:space="preserve"> </t>
    </r>
    <r>
      <rPr>
        <sz val="8"/>
        <color indexed="63"/>
        <rFont val="Arial"/>
        <family val="2"/>
      </rPr>
      <t xml:space="preserve">G3508 LE </t>
    </r>
    <r>
      <rPr>
        <sz val="10"/>
        <rFont val="Arial"/>
        <family val="2"/>
      </rPr>
      <t xml:space="preserve"> </t>
    </r>
  </si>
  <si>
    <r>
      <t xml:space="preserve"> </t>
    </r>
    <r>
      <rPr>
        <sz val="8"/>
        <color indexed="63"/>
        <rFont val="Arial"/>
        <family val="2"/>
      </rPr>
      <t xml:space="preserve">G3508B LE </t>
    </r>
    <r>
      <rPr>
        <sz val="10"/>
        <rFont val="Arial"/>
        <family val="2"/>
      </rPr>
      <t xml:space="preserve"> </t>
    </r>
  </si>
  <si>
    <r>
      <t xml:space="preserve"> </t>
    </r>
    <r>
      <rPr>
        <sz val="8"/>
        <color indexed="63"/>
        <rFont val="Arial"/>
        <family val="2"/>
      </rPr>
      <t xml:space="preserve">G3512 TA </t>
    </r>
    <r>
      <rPr>
        <sz val="10"/>
        <rFont val="Arial"/>
        <family val="2"/>
      </rPr>
      <t xml:space="preserve"> </t>
    </r>
  </si>
  <si>
    <r>
      <t xml:space="preserve"> </t>
    </r>
    <r>
      <rPr>
        <sz val="8"/>
        <color indexed="63"/>
        <rFont val="Arial"/>
        <family val="2"/>
      </rPr>
      <t xml:space="preserve">G3512 LE </t>
    </r>
    <r>
      <rPr>
        <sz val="10"/>
        <rFont val="Arial"/>
        <family val="2"/>
      </rPr>
      <t xml:space="preserve"> </t>
    </r>
  </si>
  <si>
    <r>
      <t xml:space="preserve"> </t>
    </r>
    <r>
      <rPr>
        <sz val="8"/>
        <color indexed="63"/>
        <rFont val="Arial"/>
        <family val="2"/>
      </rPr>
      <t xml:space="preserve">G3512B LE </t>
    </r>
    <r>
      <rPr>
        <sz val="10"/>
        <rFont val="Arial"/>
        <family val="2"/>
      </rPr>
      <t xml:space="preserve"> </t>
    </r>
  </si>
  <si>
    <r>
      <t xml:space="preserve"> </t>
    </r>
    <r>
      <rPr>
        <sz val="8"/>
        <color indexed="63"/>
        <rFont val="Arial"/>
        <family val="2"/>
      </rPr>
      <t xml:space="preserve">G3516 TA </t>
    </r>
    <r>
      <rPr>
        <sz val="10"/>
        <rFont val="Arial"/>
        <family val="2"/>
      </rPr>
      <t xml:space="preserve"> </t>
    </r>
  </si>
  <si>
    <r>
      <t xml:space="preserve"> </t>
    </r>
    <r>
      <rPr>
        <sz val="8"/>
        <color indexed="63"/>
        <rFont val="Arial"/>
        <family val="2"/>
      </rPr>
      <t xml:space="preserve">G3516 LE </t>
    </r>
    <r>
      <rPr>
        <sz val="10"/>
        <rFont val="Arial"/>
        <family val="2"/>
      </rPr>
      <t xml:space="preserve"> </t>
    </r>
  </si>
  <si>
    <r>
      <t xml:space="preserve"> </t>
    </r>
    <r>
      <rPr>
        <sz val="8"/>
        <color indexed="63"/>
        <rFont val="Arial"/>
        <family val="2"/>
      </rPr>
      <t xml:space="preserve">G3516B LE </t>
    </r>
    <r>
      <rPr>
        <sz val="10"/>
        <rFont val="Arial"/>
        <family val="2"/>
      </rPr>
      <t xml:space="preserve"> </t>
    </r>
  </si>
  <si>
    <r>
      <t xml:space="preserve"> </t>
    </r>
    <r>
      <rPr>
        <sz val="8"/>
        <color indexed="63"/>
        <rFont val="Arial"/>
        <family val="2"/>
      </rPr>
      <t xml:space="preserve">G3520B LE </t>
    </r>
    <r>
      <rPr>
        <sz val="10"/>
        <rFont val="Arial"/>
        <family val="2"/>
      </rPr>
      <t xml:space="preserve"> </t>
    </r>
  </si>
  <si>
    <r>
      <t xml:space="preserve"> </t>
    </r>
    <r>
      <rPr>
        <sz val="8"/>
        <color indexed="63"/>
        <rFont val="Arial"/>
        <family val="2"/>
      </rPr>
      <t xml:space="preserve">G3606 LE A3 </t>
    </r>
    <r>
      <rPr>
        <sz val="10"/>
        <rFont val="Arial"/>
        <family val="2"/>
      </rPr>
      <t xml:space="preserve"> </t>
    </r>
  </si>
  <si>
    <r>
      <t xml:space="preserve"> </t>
    </r>
    <r>
      <rPr>
        <sz val="8"/>
        <color indexed="63"/>
        <rFont val="Arial"/>
        <family val="2"/>
      </rPr>
      <t xml:space="preserve">G3606 LE A4 </t>
    </r>
    <r>
      <rPr>
        <sz val="10"/>
        <rFont val="Arial"/>
        <family val="2"/>
      </rPr>
      <t xml:space="preserve"> </t>
    </r>
  </si>
  <si>
    <r>
      <t xml:space="preserve"> </t>
    </r>
    <r>
      <rPr>
        <sz val="8"/>
        <color indexed="63"/>
        <rFont val="Arial"/>
        <family val="2"/>
      </rPr>
      <t xml:space="preserve">G3608 LE A3 </t>
    </r>
    <r>
      <rPr>
        <sz val="10"/>
        <rFont val="Arial"/>
        <family val="2"/>
      </rPr>
      <t xml:space="preserve"> </t>
    </r>
  </si>
  <si>
    <r>
      <t xml:space="preserve"> </t>
    </r>
    <r>
      <rPr>
        <sz val="8"/>
        <color indexed="63"/>
        <rFont val="Arial"/>
        <family val="2"/>
      </rPr>
      <t xml:space="preserve">G3608 LE A4 </t>
    </r>
    <r>
      <rPr>
        <sz val="10"/>
        <rFont val="Arial"/>
        <family val="2"/>
      </rPr>
      <t xml:space="preserve"> </t>
    </r>
  </si>
  <si>
    <r>
      <t xml:space="preserve"> </t>
    </r>
    <r>
      <rPr>
        <sz val="8"/>
        <color indexed="63"/>
        <rFont val="Arial"/>
        <family val="2"/>
      </rPr>
      <t xml:space="preserve">G3612 LE A3 </t>
    </r>
    <r>
      <rPr>
        <sz val="10"/>
        <rFont val="Arial"/>
        <family val="2"/>
      </rPr>
      <t xml:space="preserve"> </t>
    </r>
  </si>
  <si>
    <r>
      <t xml:space="preserve"> </t>
    </r>
    <r>
      <rPr>
        <sz val="8"/>
        <color indexed="63"/>
        <rFont val="Arial"/>
        <family val="2"/>
      </rPr>
      <t xml:space="preserve">G3612 LE A4 </t>
    </r>
    <r>
      <rPr>
        <sz val="10"/>
        <rFont val="Arial"/>
        <family val="2"/>
      </rPr>
      <t xml:space="preserve"> </t>
    </r>
  </si>
  <si>
    <r>
      <t xml:space="preserve"> </t>
    </r>
    <r>
      <rPr>
        <sz val="8"/>
        <color indexed="63"/>
        <rFont val="Arial"/>
        <family val="2"/>
      </rPr>
      <t xml:space="preserve">G3616 LE A3 </t>
    </r>
    <r>
      <rPr>
        <sz val="10"/>
        <rFont val="Arial"/>
        <family val="2"/>
      </rPr>
      <t xml:space="preserve"> </t>
    </r>
  </si>
  <si>
    <r>
      <t xml:space="preserve"> </t>
    </r>
    <r>
      <rPr>
        <sz val="8"/>
        <color indexed="63"/>
        <rFont val="Arial"/>
        <family val="2"/>
      </rPr>
      <t xml:space="preserve">G3616 LE A4 </t>
    </r>
    <r>
      <rPr>
        <sz val="10"/>
        <rFont val="Arial"/>
        <family val="2"/>
      </rPr>
      <t xml:space="preserve"> </t>
    </r>
  </si>
  <si>
    <r>
      <t xml:space="preserve"> </t>
    </r>
    <r>
      <rPr>
        <sz val="8"/>
        <color indexed="63"/>
        <rFont val="Arial"/>
        <family val="2"/>
      </rPr>
      <t xml:space="preserve">G12CM34 </t>
    </r>
    <r>
      <rPr>
        <sz val="10"/>
        <rFont val="Arial"/>
        <family val="2"/>
      </rPr>
      <t xml:space="preserve"> </t>
    </r>
  </si>
  <si>
    <r>
      <t xml:space="preserve"> </t>
    </r>
    <r>
      <rPr>
        <sz val="8"/>
        <color indexed="63"/>
        <rFont val="Arial"/>
        <family val="2"/>
      </rPr>
      <t xml:space="preserve">G16CM34 </t>
    </r>
    <r>
      <rPr>
        <sz val="10"/>
        <rFont val="Arial"/>
        <family val="2"/>
      </rPr>
      <t xml:space="preserve"> </t>
    </r>
  </si>
  <si>
    <r>
      <t xml:space="preserve"> </t>
    </r>
    <r>
      <rPr>
        <b/>
        <sz val="8"/>
        <color indexed="63"/>
        <rFont val="Arial"/>
        <family val="2"/>
      </rPr>
      <t xml:space="preserve">Cummins </t>
    </r>
    <r>
      <rPr>
        <sz val="10"/>
        <rFont val="Arial"/>
        <family val="2"/>
      </rPr>
      <t xml:space="preserve"> </t>
    </r>
  </si>
  <si>
    <r>
      <t xml:space="preserve"> </t>
    </r>
    <r>
      <rPr>
        <sz val="8"/>
        <color indexed="63"/>
        <rFont val="Arial"/>
        <family val="2"/>
      </rPr>
      <t xml:space="preserve">G5.9 </t>
    </r>
    <r>
      <rPr>
        <sz val="10"/>
        <rFont val="Arial"/>
        <family val="2"/>
      </rPr>
      <t xml:space="preserve"> </t>
    </r>
  </si>
  <si>
    <r>
      <t xml:space="preserve"> </t>
    </r>
    <r>
      <rPr>
        <sz val="8"/>
        <color indexed="63"/>
        <rFont val="Arial"/>
        <family val="2"/>
      </rPr>
      <t xml:space="preserve">na </t>
    </r>
    <r>
      <rPr>
        <sz val="10"/>
        <rFont val="Arial"/>
        <family val="2"/>
      </rPr>
      <t xml:space="preserve"> </t>
    </r>
  </si>
  <si>
    <r>
      <t xml:space="preserve"> </t>
    </r>
    <r>
      <rPr>
        <sz val="8"/>
        <color indexed="63"/>
        <rFont val="Arial"/>
        <family val="2"/>
      </rPr>
      <t xml:space="preserve">G8.3 </t>
    </r>
    <r>
      <rPr>
        <sz val="10"/>
        <rFont val="Arial"/>
        <family val="2"/>
      </rPr>
      <t xml:space="preserve"> </t>
    </r>
  </si>
  <si>
    <r>
      <t xml:space="preserve"> </t>
    </r>
    <r>
      <rPr>
        <sz val="8"/>
        <color indexed="63"/>
        <rFont val="Arial"/>
        <family val="2"/>
      </rPr>
      <t xml:space="preserve">GTA8.3 </t>
    </r>
    <r>
      <rPr>
        <sz val="10"/>
        <rFont val="Arial"/>
        <family val="2"/>
      </rPr>
      <t xml:space="preserve"> </t>
    </r>
  </si>
  <si>
    <r>
      <t xml:space="preserve"> </t>
    </r>
    <r>
      <rPr>
        <sz val="8"/>
        <color indexed="63"/>
        <rFont val="Arial"/>
        <family val="2"/>
      </rPr>
      <t xml:space="preserve">QSL9G </t>
    </r>
    <r>
      <rPr>
        <sz val="10"/>
        <rFont val="Arial"/>
        <family val="2"/>
      </rPr>
      <t xml:space="preserve"> </t>
    </r>
  </si>
  <si>
    <r>
      <t xml:space="preserve"> </t>
    </r>
    <r>
      <rPr>
        <sz val="8"/>
        <color indexed="63"/>
        <rFont val="Arial"/>
        <family val="2"/>
      </rPr>
      <t xml:space="preserve">G855 </t>
    </r>
    <r>
      <rPr>
        <sz val="10"/>
        <rFont val="Arial"/>
        <family val="2"/>
      </rPr>
      <t xml:space="preserve"> </t>
    </r>
  </si>
  <si>
    <r>
      <t xml:space="preserve"> </t>
    </r>
    <r>
      <rPr>
        <sz val="8"/>
        <color indexed="63"/>
        <rFont val="Arial"/>
        <family val="2"/>
      </rPr>
      <t xml:space="preserve">GTA855 </t>
    </r>
    <r>
      <rPr>
        <sz val="10"/>
        <rFont val="Arial"/>
        <family val="2"/>
      </rPr>
      <t xml:space="preserve"> </t>
    </r>
  </si>
  <si>
    <r>
      <t xml:space="preserve"> </t>
    </r>
    <r>
      <rPr>
        <sz val="8"/>
        <color indexed="63"/>
        <rFont val="Arial"/>
        <family val="2"/>
      </rPr>
      <t xml:space="preserve">KTA19GC </t>
    </r>
    <r>
      <rPr>
        <sz val="10"/>
        <rFont val="Arial"/>
        <family val="2"/>
      </rPr>
      <t xml:space="preserve"> </t>
    </r>
  </si>
  <si>
    <r>
      <t xml:space="preserve"> </t>
    </r>
    <r>
      <rPr>
        <sz val="8"/>
        <color indexed="63"/>
        <rFont val="Arial"/>
        <family val="2"/>
      </rPr>
      <t xml:space="preserve">KTA38GC </t>
    </r>
    <r>
      <rPr>
        <sz val="10"/>
        <rFont val="Arial"/>
        <family val="2"/>
      </rPr>
      <t xml:space="preserve"> </t>
    </r>
  </si>
  <si>
    <r>
      <t xml:space="preserve"> </t>
    </r>
    <r>
      <rPr>
        <b/>
        <sz val="8"/>
        <color indexed="63"/>
        <rFont val="Arial"/>
        <family val="2"/>
      </rPr>
      <t xml:space="preserve">Waukesha </t>
    </r>
    <r>
      <rPr>
        <sz val="10"/>
        <rFont val="Arial"/>
        <family val="2"/>
      </rPr>
      <t xml:space="preserve"> </t>
    </r>
  </si>
  <si>
    <r>
      <t xml:space="preserve"> </t>
    </r>
    <r>
      <rPr>
        <sz val="8"/>
        <color indexed="63"/>
        <rFont val="Arial"/>
        <family val="2"/>
      </rPr>
      <t xml:space="preserve">F18G </t>
    </r>
    <r>
      <rPr>
        <sz val="10"/>
        <rFont val="Arial"/>
        <family val="2"/>
      </rPr>
      <t xml:space="preserve"> </t>
    </r>
  </si>
  <si>
    <r>
      <t xml:space="preserve"> </t>
    </r>
    <r>
      <rPr>
        <sz val="8"/>
        <color indexed="63"/>
        <rFont val="Arial"/>
        <family val="2"/>
      </rPr>
      <t>-</t>
    </r>
    <r>
      <rPr>
        <sz val="10"/>
        <rFont val="Arial"/>
        <family val="2"/>
      </rPr>
      <t xml:space="preserve"> </t>
    </r>
  </si>
  <si>
    <r>
      <t xml:space="preserve"> </t>
    </r>
    <r>
      <rPr>
        <sz val="8"/>
        <color indexed="63"/>
        <rFont val="Arial"/>
        <family val="2"/>
      </rPr>
      <t xml:space="preserve">F18GL </t>
    </r>
    <r>
      <rPr>
        <sz val="10"/>
        <rFont val="Arial"/>
        <family val="2"/>
      </rPr>
      <t xml:space="preserve"> </t>
    </r>
  </si>
  <si>
    <r>
      <t xml:space="preserve"> </t>
    </r>
    <r>
      <rPr>
        <sz val="8"/>
        <color indexed="63"/>
        <rFont val="Arial"/>
        <family val="2"/>
      </rPr>
      <t xml:space="preserve">F18GSI </t>
    </r>
    <r>
      <rPr>
        <sz val="10"/>
        <rFont val="Arial"/>
        <family val="2"/>
      </rPr>
      <t xml:space="preserve"> </t>
    </r>
  </si>
  <si>
    <r>
      <t xml:space="preserve"> </t>
    </r>
    <r>
      <rPr>
        <sz val="8"/>
        <color indexed="63"/>
        <rFont val="Arial"/>
        <family val="2"/>
      </rPr>
      <t xml:space="preserve">H24G </t>
    </r>
    <r>
      <rPr>
        <sz val="10"/>
        <rFont val="Arial"/>
        <family val="2"/>
      </rPr>
      <t xml:space="preserve"> </t>
    </r>
  </si>
  <si>
    <r>
      <t xml:space="preserve"> </t>
    </r>
    <r>
      <rPr>
        <sz val="8"/>
        <color indexed="63"/>
        <rFont val="Arial"/>
        <family val="2"/>
      </rPr>
      <t xml:space="preserve">H24GL </t>
    </r>
    <r>
      <rPr>
        <sz val="10"/>
        <rFont val="Arial"/>
        <family val="2"/>
      </rPr>
      <t xml:space="preserve"> </t>
    </r>
  </si>
  <si>
    <r>
      <t xml:space="preserve"> </t>
    </r>
    <r>
      <rPr>
        <sz val="8"/>
        <color indexed="63"/>
        <rFont val="Arial"/>
        <family val="2"/>
      </rPr>
      <t xml:space="preserve">H24GSI </t>
    </r>
    <r>
      <rPr>
        <sz val="10"/>
        <rFont val="Arial"/>
        <family val="2"/>
      </rPr>
      <t xml:space="preserve"> </t>
    </r>
  </si>
  <si>
    <r>
      <t xml:space="preserve"> </t>
    </r>
    <r>
      <rPr>
        <sz val="8"/>
        <color indexed="63"/>
        <rFont val="Arial"/>
        <family val="2"/>
      </rPr>
      <t xml:space="preserve">L36GL </t>
    </r>
    <r>
      <rPr>
        <sz val="10"/>
        <rFont val="Arial"/>
        <family val="2"/>
      </rPr>
      <t xml:space="preserve"> </t>
    </r>
  </si>
  <si>
    <r>
      <t xml:space="preserve"> </t>
    </r>
    <r>
      <rPr>
        <sz val="8"/>
        <color indexed="63"/>
        <rFont val="Arial"/>
        <family val="2"/>
      </rPr>
      <t xml:space="preserve">L36GSI </t>
    </r>
    <r>
      <rPr>
        <sz val="10"/>
        <rFont val="Arial"/>
        <family val="2"/>
      </rPr>
      <t xml:space="preserve"> </t>
    </r>
  </si>
  <si>
    <r>
      <t xml:space="preserve"> </t>
    </r>
    <r>
      <rPr>
        <sz val="8"/>
        <color indexed="63"/>
        <rFont val="Arial"/>
        <family val="2"/>
      </rPr>
      <t xml:space="preserve">P48GL </t>
    </r>
    <r>
      <rPr>
        <sz val="10"/>
        <rFont val="Arial"/>
        <family val="2"/>
      </rPr>
      <t xml:space="preserve"> </t>
    </r>
  </si>
  <si>
    <r>
      <t xml:space="preserve"> </t>
    </r>
    <r>
      <rPr>
        <sz val="8"/>
        <color indexed="63"/>
        <rFont val="Arial"/>
        <family val="2"/>
      </rPr>
      <t xml:space="preserve">P48GSI </t>
    </r>
    <r>
      <rPr>
        <sz val="10"/>
        <rFont val="Arial"/>
        <family val="2"/>
      </rPr>
      <t xml:space="preserve"> </t>
    </r>
  </si>
  <si>
    <r>
      <t xml:space="preserve"> </t>
    </r>
    <r>
      <rPr>
        <sz val="8"/>
        <color indexed="63"/>
        <rFont val="Arial"/>
        <family val="2"/>
      </rPr>
      <t xml:space="preserve">F3524G </t>
    </r>
    <r>
      <rPr>
        <sz val="10"/>
        <rFont val="Arial"/>
        <family val="2"/>
      </rPr>
      <t xml:space="preserve"> </t>
    </r>
  </si>
  <si>
    <r>
      <t xml:space="preserve"> </t>
    </r>
    <r>
      <rPr>
        <sz val="8"/>
        <color indexed="63"/>
        <rFont val="Arial"/>
        <family val="2"/>
      </rPr>
      <t xml:space="preserve">F3514GSI </t>
    </r>
    <r>
      <rPr>
        <sz val="10"/>
        <rFont val="Arial"/>
        <family val="2"/>
      </rPr>
      <t xml:space="preserve"> </t>
    </r>
  </si>
  <si>
    <r>
      <t xml:space="preserve"> </t>
    </r>
    <r>
      <rPr>
        <sz val="8"/>
        <color indexed="63"/>
        <rFont val="Arial"/>
        <family val="2"/>
      </rPr>
      <t xml:space="preserve">F3524GSI </t>
    </r>
    <r>
      <rPr>
        <sz val="10"/>
        <rFont val="Arial"/>
        <family val="2"/>
      </rPr>
      <t xml:space="preserve"> </t>
    </r>
  </si>
  <si>
    <r>
      <t xml:space="preserve"> </t>
    </r>
    <r>
      <rPr>
        <sz val="8"/>
        <color indexed="63"/>
        <rFont val="Arial"/>
        <family val="2"/>
      </rPr>
      <t xml:space="preserve">L5774LT </t>
    </r>
    <r>
      <rPr>
        <sz val="10"/>
        <rFont val="Arial"/>
        <family val="2"/>
      </rPr>
      <t xml:space="preserve"> </t>
    </r>
  </si>
  <si>
    <r>
      <t xml:space="preserve"> </t>
    </r>
    <r>
      <rPr>
        <sz val="8"/>
        <color indexed="63"/>
        <rFont val="Arial"/>
        <family val="2"/>
      </rPr>
      <t xml:space="preserve">L5794LT </t>
    </r>
    <r>
      <rPr>
        <sz val="10"/>
        <rFont val="Arial"/>
        <family val="2"/>
      </rPr>
      <t xml:space="preserve"> </t>
    </r>
  </si>
  <si>
    <r>
      <t xml:space="preserve"> </t>
    </r>
    <r>
      <rPr>
        <sz val="8"/>
        <color indexed="63"/>
        <rFont val="Arial"/>
        <family val="2"/>
      </rPr>
      <t xml:space="preserve">L5794GSI </t>
    </r>
    <r>
      <rPr>
        <sz val="10"/>
        <rFont val="Arial"/>
        <family val="2"/>
      </rPr>
      <t xml:space="preserve"> </t>
    </r>
  </si>
  <si>
    <r>
      <t xml:space="preserve"> </t>
    </r>
    <r>
      <rPr>
        <sz val="8"/>
        <color indexed="63"/>
        <rFont val="Arial"/>
        <family val="2"/>
      </rPr>
      <t xml:space="preserve">L7044G </t>
    </r>
    <r>
      <rPr>
        <sz val="10"/>
        <rFont val="Arial"/>
        <family val="2"/>
      </rPr>
      <t xml:space="preserve"> </t>
    </r>
  </si>
  <si>
    <r>
      <t xml:space="preserve"> </t>
    </r>
    <r>
      <rPr>
        <sz val="8"/>
        <color indexed="63"/>
        <rFont val="Arial"/>
        <family val="2"/>
      </rPr>
      <t xml:space="preserve">L7042GL </t>
    </r>
    <r>
      <rPr>
        <sz val="10"/>
        <rFont val="Arial"/>
        <family val="2"/>
      </rPr>
      <t xml:space="preserve"> </t>
    </r>
  </si>
  <si>
    <r>
      <t xml:space="preserve"> </t>
    </r>
    <r>
      <rPr>
        <sz val="8"/>
        <color indexed="63"/>
        <rFont val="Arial"/>
        <family val="2"/>
      </rPr>
      <t xml:space="preserve">L7042GSI S4 </t>
    </r>
    <r>
      <rPr>
        <sz val="10"/>
        <rFont val="Arial"/>
        <family val="2"/>
      </rPr>
      <t xml:space="preserve"> </t>
    </r>
  </si>
  <si>
    <r>
      <t xml:space="preserve"> </t>
    </r>
    <r>
      <rPr>
        <sz val="8"/>
        <color indexed="63"/>
        <rFont val="Arial"/>
        <family val="2"/>
      </rPr>
      <t xml:space="preserve">L7044GSI </t>
    </r>
    <r>
      <rPr>
        <sz val="10"/>
        <rFont val="Arial"/>
        <family val="2"/>
      </rPr>
      <t xml:space="preserve"> </t>
    </r>
  </si>
  <si>
    <r>
      <t xml:space="preserve"> </t>
    </r>
    <r>
      <rPr>
        <sz val="8"/>
        <color indexed="63"/>
        <rFont val="Arial"/>
        <family val="2"/>
      </rPr>
      <t xml:space="preserve">P9390GL </t>
    </r>
    <r>
      <rPr>
        <sz val="10"/>
        <rFont val="Arial"/>
        <family val="2"/>
      </rPr>
      <t xml:space="preserve"> </t>
    </r>
  </si>
  <si>
    <r>
      <t xml:space="preserve"> </t>
    </r>
    <r>
      <rPr>
        <sz val="8"/>
        <color indexed="63"/>
        <rFont val="Arial"/>
        <family val="2"/>
      </rPr>
      <t xml:space="preserve">P9390GSI </t>
    </r>
    <r>
      <rPr>
        <sz val="10"/>
        <rFont val="Arial"/>
        <family val="2"/>
      </rPr>
      <t xml:space="preserve"> </t>
    </r>
  </si>
  <si>
    <r>
      <t xml:space="preserve"> </t>
    </r>
    <r>
      <rPr>
        <sz val="8"/>
        <color indexed="63"/>
        <rFont val="Arial"/>
        <family val="2"/>
      </rPr>
      <t xml:space="preserve">P9394GSI </t>
    </r>
    <r>
      <rPr>
        <sz val="10"/>
        <rFont val="Arial"/>
        <family val="2"/>
      </rPr>
      <t xml:space="preserve"> </t>
    </r>
  </si>
  <si>
    <r>
      <t xml:space="preserve"> </t>
    </r>
    <r>
      <rPr>
        <sz val="8"/>
        <color indexed="63"/>
        <rFont val="Arial"/>
        <family val="2"/>
      </rPr>
      <t xml:space="preserve">12V275GL+ </t>
    </r>
    <r>
      <rPr>
        <sz val="10"/>
        <rFont val="Arial"/>
        <family val="2"/>
      </rPr>
      <t xml:space="preserve"> </t>
    </r>
  </si>
  <si>
    <r>
      <t xml:space="preserve"> </t>
    </r>
    <r>
      <rPr>
        <sz val="8"/>
        <color indexed="63"/>
        <rFont val="Arial"/>
        <family val="2"/>
      </rPr>
      <t xml:space="preserve">16V275GL+ </t>
    </r>
    <r>
      <rPr>
        <sz val="10"/>
        <rFont val="Arial"/>
        <family val="2"/>
      </rPr>
      <t xml:space="preserve"> </t>
    </r>
  </si>
  <si>
    <t>Notes</t>
  </si>
  <si>
    <t>(1): G3508B LE, G3512B LE, G3516B LE, G3520B LE, G3600, GCM34 and G3300B engine information based on 0.5 gram NOx rating</t>
  </si>
  <si>
    <t>(2): G3406 NA, G3406 TA and G3500 TA information based on catalyst setting</t>
  </si>
  <si>
    <t>(3): G3500B, G3600 A4 and GCM34 aftercooler data shown 1st stage/2nd stage</t>
  </si>
  <si>
    <t>Manufacturer</t>
  </si>
  <si>
    <t>Cylinder Cooling</t>
  </si>
  <si>
    <t>Machine</t>
  </si>
  <si>
    <t>Waukesha L5794GSI</t>
  </si>
  <si>
    <t>Caterpillar G3304B NA</t>
  </si>
  <si>
    <t>Caterpillar G3306B NA</t>
  </si>
  <si>
    <t>Caterpillar G3306B TA</t>
  </si>
  <si>
    <t>Caterpillar G3406 NA</t>
  </si>
  <si>
    <t>Caterpillar G3406 TA</t>
  </si>
  <si>
    <t>Caterpillar G3408 NA</t>
  </si>
  <si>
    <t>Caterpillar G3408 TA</t>
  </si>
  <si>
    <t>Caterpillar CG137-8</t>
  </si>
  <si>
    <t>Caterpillar G3408C LE</t>
  </si>
  <si>
    <t>Caterpillar G3412 TA</t>
  </si>
  <si>
    <t>Caterpillar CG137-12</t>
  </si>
  <si>
    <t>Caterpillar G3412C LE</t>
  </si>
  <si>
    <t>Caterpillar G3508 TA</t>
  </si>
  <si>
    <t>Caterpillar G3508 LE</t>
  </si>
  <si>
    <t>Caterpillar G3508B LE</t>
  </si>
  <si>
    <t>Caterpillar G3512 TA</t>
  </si>
  <si>
    <t>Caterpillar G3512 LE</t>
  </si>
  <si>
    <t>Caterpillar G3512B LE</t>
  </si>
  <si>
    <t>Caterpillar G3516 TA</t>
  </si>
  <si>
    <t>Caterpillar G3516 LE</t>
  </si>
  <si>
    <t>Caterpillar G3516B LE</t>
  </si>
  <si>
    <t>Caterpillar G3520B LE</t>
  </si>
  <si>
    <t>Caterpillar G3606 LE A3</t>
  </si>
  <si>
    <t>Caterpillar G3606 LE A4</t>
  </si>
  <si>
    <t>Caterpillar G3608 LE A3</t>
  </si>
  <si>
    <t>Caterpillar G3608 LE A4</t>
  </si>
  <si>
    <t>Caterpillar G3612 LE A3</t>
  </si>
  <si>
    <t>Caterpillar G3612 LE A4</t>
  </si>
  <si>
    <t>Caterpillar G3616 LE A3</t>
  </si>
  <si>
    <t>Caterpillar G3616 LE A4</t>
  </si>
  <si>
    <t>Caterpillar G12CM34</t>
  </si>
  <si>
    <t>Caterpillar G16CM34</t>
  </si>
  <si>
    <t>Cummins G5.9</t>
  </si>
  <si>
    <t>Cummins G8.3</t>
  </si>
  <si>
    <t>Cummins GTA8.3</t>
  </si>
  <si>
    <t>Cummins QSL9G</t>
  </si>
  <si>
    <t>Cummins G855</t>
  </si>
  <si>
    <t>Cummins GTA855</t>
  </si>
  <si>
    <t>Cummins KTA19GC</t>
  </si>
  <si>
    <t>Cummins KTA38GC</t>
  </si>
  <si>
    <t>Waukesha F18G</t>
  </si>
  <si>
    <t>Waukesha F18GL</t>
  </si>
  <si>
    <t>Waukesha F18GSI</t>
  </si>
  <si>
    <t>Waukesha H24G</t>
  </si>
  <si>
    <t>Waukesha H24GL</t>
  </si>
  <si>
    <t>Waukesha H24GSI</t>
  </si>
  <si>
    <t>Waukesha L36GL</t>
  </si>
  <si>
    <t>Waukesha L36GSI</t>
  </si>
  <si>
    <t>Waukesha P48GL</t>
  </si>
  <si>
    <t>Waukesha P48GSI</t>
  </si>
  <si>
    <t>Waukesha F3524G</t>
  </si>
  <si>
    <t>Waukesha F3514GSI</t>
  </si>
  <si>
    <t>Waukesha F3524GSI</t>
  </si>
  <si>
    <t>Waukesha L5774LT</t>
  </si>
  <si>
    <t>Waukesha L5794LT</t>
  </si>
  <si>
    <t>Waukesha L7044G</t>
  </si>
  <si>
    <t>Waukesha L7042GSI S4</t>
  </si>
  <si>
    <t>Waukesha L7044GSI</t>
  </si>
  <si>
    <t>Waukesha P9390GL</t>
  </si>
  <si>
    <t>Waukesha P9390GSI</t>
  </si>
  <si>
    <t>Waukesha P9394GSI</t>
  </si>
  <si>
    <t>Waukesha 12V275GL+</t>
  </si>
  <si>
    <t>Waukesha 16V275GL+</t>
  </si>
  <si>
    <t>`</t>
  </si>
  <si>
    <t>Turbo Aftercooling</t>
  </si>
  <si>
    <t>Note: A rule of thumb for derating naturally aspirated engines is 3-1/2% reduction in power for each 1000 ft above the rating altitude, and 1% reduction for every 10 °F above the rating temperature. For exact deration of naturally aspirated engines, or for turbocharged engines, the manufacturers must be consulted.</t>
  </si>
  <si>
    <t>See note below</t>
  </si>
  <si>
    <t>Example 15-3</t>
  </si>
  <si>
    <t>Pressure, psia</t>
  </si>
  <si>
    <t>Temp, F</t>
  </si>
  <si>
    <t>ft</t>
  </si>
  <si>
    <t>Altitude above sea level =</t>
  </si>
  <si>
    <t>Derated Power</t>
  </si>
  <si>
    <t>Volume, cu ft/lb</t>
  </si>
  <si>
    <t>Enthalpy, Btu/lb</t>
  </si>
  <si>
    <t>Entropy, Btu (lb F)</t>
  </si>
  <si>
    <t>Liquid</t>
  </si>
  <si>
    <t>Vapor</t>
  </si>
  <si>
    <t>Fig. 15-31</t>
  </si>
  <si>
    <t>For T, Alt.</t>
  </si>
  <si>
    <t>Examining Figs. 24-31 and 32 in the same way as in Example 15-3, the turbine inlet is superheated, and the exhaust is two-phase.</t>
  </si>
  <si>
    <t>°F  (interpolating first column of Fig. 24-32)</t>
  </si>
  <si>
    <t>Fig. 15-33</t>
  </si>
  <si>
    <t>Fig. 15-35</t>
  </si>
  <si>
    <t>Fig. 15-36</t>
  </si>
  <si>
    <t>Fig. 15-38 Step 1</t>
  </si>
  <si>
    <t>Fig. 15-38 Step 2</t>
  </si>
  <si>
    <t>Figs. 15-30 through 15-38 and 24-30 and 24-31 allow estimates to be made of steam rate, turbine efficiency, number of stages, and the inlet and exhaust nozzle diameters. The follow following examples illustrate the use of these figures:</t>
  </si>
  <si>
    <t xml:space="preserve">Using Figs. 24-31 and 32, the theoretical steam rate (TSR) may be determined from the difference in the inlet enthalpy and the theoretical exhaust enthalpy (i.e. isentropic exhaust enthalpy), but first the inlet and exhaust states should be confirmed. </t>
  </si>
  <si>
    <t xml:space="preserve">Using Figs.24-31 and 32, the theoretical steam rate (TSR) may be determined from the difference in the inlet enthalpy and the theoretical exhaust enthalpy (i.e. isentropic exhaust enthalpy), but first the inlet and exhaust states should be confirmed. </t>
  </si>
  <si>
    <t>Fig. 24-32</t>
  </si>
  <si>
    <t>From Fig. 24-31, for saturated steam at the turbine exhaust pressure, the liquid and vapor entropies are:</t>
  </si>
  <si>
    <t>Since the inlet entropy is within this range, the theoretical exhaust must be two-phase.  Had the exhaust-vapor entropy been equal to the inlet entropy, the exhaust would be single-phase vapor (i.e. at its dewpoint).  Had the exhaust-vapor entropy been below the inlet entropy, the assumed two-phase exhaust would have been incorrect and Fig. 24-32 instead of 24-31 would be applicable.</t>
  </si>
  <si>
    <t xml:space="preserve">  first column Fig. 24-32</t>
  </si>
  <si>
    <t>Eq 15-3</t>
  </si>
  <si>
    <t>The number of stages may be estimated using Fig. 15-37.  Drawing a horizontal line from the</t>
  </si>
  <si>
    <t>from Fig. 15-30, a part load efficiency factor of approximately</t>
  </si>
  <si>
    <t>Fig. 15-31, the basic efficiency at</t>
  </si>
  <si>
    <t>From Fig. 15-3</t>
  </si>
  <si>
    <t>For the heat rate find the inlet loss correction factor, exhaust loss correction factor, and ambient temperature correction factor from Figs. 15-14, 15-15, and 15-16, respectively.  (Note: Heat rate is not affected by altitude. Relative humidity has a very slight affect.)</t>
  </si>
  <si>
    <t>For the heat rate find the inlet loss correction factor, exhaust loss correction factor, and ambient temperature correction factor from Figs. 15-14, 15-15, and 15-16, respectively.  (Note: Heat rate is not affected by altitude.)</t>
  </si>
  <si>
    <t>Basic specifications for some of the commonly used gas turbine engines are shown in Fig. 15-17.</t>
  </si>
  <si>
    <t>The above calculation procedures may vary slighly with different manufacturers but will follow the same principles.</t>
  </si>
  <si>
    <t>Numbers that must be filled in according to the user's data, specific situation, graphs, charts, and figures</t>
  </si>
  <si>
    <t>GPSA Engineering Data Book 14th Edition</t>
  </si>
  <si>
    <t>REVISION</t>
  </si>
  <si>
    <t>DATE</t>
  </si>
  <si>
    <t>REASON(S) FOR REVISION</t>
  </si>
  <si>
    <t xml:space="preserve">Initial release </t>
  </si>
  <si>
    <t>While every effort has been made to present accurate and reliable technical information and calculation spreadsheets based on the GPSA Engineering Data Book sample calculations, the use of such information is voluntary and the GPA and GPSA do not guarantee the accuracy, completeness, efficacy, or timeliness of such information.  Reference herein to any specific commercial product, calculation method, process, or service by trade-name, trademark, and service mark manufacturer or otherwise does not constitute or imply endorsement, recommendation or favoring by the GPA and/or GPSA.</t>
  </si>
  <si>
    <t>The Calculation Spreadsheets are provided without warranty of any kind including warranties of accuracy or reasonableness of factual or scientific assumptions, studies or conclusions, or merchantability, fitness for a particular purpose, or non-infringement of intellectual property.</t>
  </si>
  <si>
    <t>In no event will the GPA or GPSA and their members be liable for any damages whatsoever (including without limitation, those resulting from lost profits, lost data or business interruption) arising from the use, inability to, reference to or reliance on the information in this Publication, whether based on warranty, contract, tort or any other legal theory and whether or not advised of the possibility of such damages.</t>
  </si>
  <si>
    <t>These calculation spreadsheets are provided to provide an “Operational level” of accuracy calculation based on rather broad assumptions (including but not limited to: temperatures, pressures, compositions, imperial curves, site conditions etc) and do not replace detailed and accurate Design Engineering taking into account actual process conditions, fluid properties, equipment condition or fowling and actual control set-point dead-band limitations.</t>
  </si>
  <si>
    <r>
      <t xml:space="preserve"> </t>
    </r>
    <r>
      <rPr>
        <b/>
        <sz val="11"/>
        <color indexed="63"/>
        <rFont val="Arial"/>
        <family val="2"/>
      </rPr>
      <t xml:space="preserve">ENGINE </t>
    </r>
    <r>
      <rPr>
        <sz val="11"/>
        <rFont val="Arial"/>
        <family val="2"/>
      </rPr>
      <t xml:space="preserve"> </t>
    </r>
  </si>
  <si>
    <r>
      <t xml:space="preserve"> </t>
    </r>
    <r>
      <rPr>
        <b/>
        <sz val="11"/>
        <color indexed="63"/>
        <rFont val="Arial"/>
        <family val="2"/>
      </rPr>
      <t xml:space="preserve">Full Power at Full Speed (bhp) </t>
    </r>
    <r>
      <rPr>
        <sz val="11"/>
        <rFont val="Arial"/>
        <family val="2"/>
      </rPr>
      <t xml:space="preserve"> </t>
    </r>
  </si>
  <si>
    <r>
      <t xml:space="preserve"> </t>
    </r>
    <r>
      <rPr>
        <b/>
        <sz val="11"/>
        <color indexed="63"/>
        <rFont val="Arial"/>
        <family val="2"/>
      </rPr>
      <t xml:space="preserve">Full Speed(rpm) </t>
    </r>
    <r>
      <rPr>
        <sz val="11"/>
        <rFont val="Arial"/>
        <family val="2"/>
      </rPr>
      <t xml:space="preserve"> </t>
    </r>
  </si>
  <si>
    <r>
      <t xml:space="preserve"> </t>
    </r>
    <r>
      <rPr>
        <b/>
        <sz val="11"/>
        <color indexed="63"/>
        <rFont val="Arial"/>
        <family val="2"/>
      </rPr>
      <t xml:space="preserve">Strokes Per Cycle </t>
    </r>
    <r>
      <rPr>
        <sz val="11"/>
        <rFont val="Arial"/>
        <family val="2"/>
      </rPr>
      <t xml:space="preserve"> </t>
    </r>
  </si>
  <si>
    <r>
      <t xml:space="preserve"> </t>
    </r>
    <r>
      <rPr>
        <b/>
        <sz val="11"/>
        <color indexed="63"/>
        <rFont val="Arial"/>
        <family val="2"/>
      </rPr>
      <t xml:space="preserve">BMEP (psi) </t>
    </r>
    <r>
      <rPr>
        <sz val="11"/>
        <rFont val="Arial"/>
        <family val="2"/>
      </rPr>
      <t xml:space="preserve"> </t>
    </r>
  </si>
  <si>
    <r>
      <t xml:space="preserve"> </t>
    </r>
    <r>
      <rPr>
        <b/>
        <sz val="11"/>
        <color indexed="63"/>
        <rFont val="Arial"/>
        <family val="2"/>
      </rPr>
      <t xml:space="preserve">Fuel Reqmt(Btu/(bhp.hr))LHV </t>
    </r>
    <r>
      <rPr>
        <sz val="11"/>
        <rFont val="Arial"/>
        <family val="2"/>
      </rPr>
      <t xml:space="preserve"> </t>
    </r>
  </si>
  <si>
    <r>
      <t xml:space="preserve"> </t>
    </r>
    <r>
      <rPr>
        <b/>
        <sz val="11"/>
        <color indexed="63"/>
        <rFont val="Arial"/>
        <family val="2"/>
      </rPr>
      <t xml:space="preserve">Jacket Water Cooler </t>
    </r>
    <r>
      <rPr>
        <sz val="11"/>
        <rFont val="Arial"/>
        <family val="2"/>
      </rPr>
      <t xml:space="preserve"> </t>
    </r>
  </si>
  <si>
    <r>
      <t xml:space="preserve"> </t>
    </r>
    <r>
      <rPr>
        <b/>
        <sz val="11"/>
        <color indexed="63"/>
        <rFont val="Arial"/>
        <family val="2"/>
      </rPr>
      <t xml:space="preserve">Oil Cooler </t>
    </r>
    <r>
      <rPr>
        <sz val="11"/>
        <rFont val="Arial"/>
        <family val="2"/>
      </rPr>
      <t xml:space="preserve"> </t>
    </r>
  </si>
  <si>
    <r>
      <t xml:space="preserve"> </t>
    </r>
    <r>
      <rPr>
        <b/>
        <sz val="11"/>
        <color indexed="63"/>
        <rFont val="Arial"/>
        <family val="2"/>
      </rPr>
      <t>Turbo Intercooler</t>
    </r>
    <r>
      <rPr>
        <sz val="11"/>
        <rFont val="Arial"/>
        <family val="2"/>
      </rPr>
      <t xml:space="preserve"> </t>
    </r>
  </si>
  <si>
    <r>
      <t xml:space="preserve"> </t>
    </r>
    <r>
      <rPr>
        <b/>
        <sz val="11"/>
        <color indexed="63"/>
        <rFont val="Arial"/>
        <family val="2"/>
      </rPr>
      <t xml:space="preserve">Atmosphere i.e.Surface Heat Loss </t>
    </r>
    <r>
      <rPr>
        <sz val="11"/>
        <rFont val="Arial"/>
        <family val="2"/>
      </rPr>
      <t xml:space="preserve"> </t>
    </r>
  </si>
  <si>
    <r>
      <t xml:space="preserve"> </t>
    </r>
    <r>
      <rPr>
        <b/>
        <sz val="11"/>
        <color indexed="63"/>
        <rFont val="Arial"/>
        <family val="2"/>
      </rPr>
      <t xml:space="preserve">Exhaust rate (lb/hr.) </t>
    </r>
    <r>
      <rPr>
        <sz val="11"/>
        <rFont val="Arial"/>
        <family val="2"/>
      </rPr>
      <t xml:space="preserve"> </t>
    </r>
  </si>
  <si>
    <r>
      <t xml:space="preserve"> </t>
    </r>
    <r>
      <rPr>
        <b/>
        <sz val="11"/>
        <color indexed="63"/>
        <rFont val="Arial"/>
        <family val="2"/>
      </rPr>
      <t>Exhaust temp (F)</t>
    </r>
    <r>
      <rPr>
        <sz val="11"/>
        <rFont val="Arial"/>
        <family val="2"/>
      </rPr>
      <t xml:space="preserve"> </t>
    </r>
  </si>
  <si>
    <r>
      <t xml:space="preserve"> </t>
    </r>
    <r>
      <rPr>
        <b/>
        <sz val="11"/>
        <color indexed="63"/>
        <rFont val="Arial"/>
        <family val="2"/>
      </rPr>
      <t xml:space="preserve">Heat Rejection Btu / (bhp • hr) </t>
    </r>
    <r>
      <rPr>
        <sz val="11"/>
        <rFont val="Arial"/>
        <family val="2"/>
      </rPr>
      <t xml:space="preserve"> </t>
    </r>
  </si>
  <si>
    <r>
      <t>s</t>
    </r>
    <r>
      <rPr>
        <vertAlign val="subscript"/>
        <sz val="11"/>
        <color theme="1"/>
        <rFont val="Times New Roman"/>
        <family val="1"/>
      </rPr>
      <t>f</t>
    </r>
    <r>
      <rPr>
        <sz val="11"/>
        <color theme="1"/>
        <rFont val="Times New Roman"/>
        <family val="1"/>
      </rPr>
      <t xml:space="preserve"> =</t>
    </r>
  </si>
  <si>
    <r>
      <t>s</t>
    </r>
    <r>
      <rPr>
        <vertAlign val="subscript"/>
        <sz val="11"/>
        <color theme="1"/>
        <rFont val="Times New Roman"/>
        <family val="1"/>
      </rPr>
      <t>g</t>
    </r>
    <r>
      <rPr>
        <sz val="11"/>
        <color theme="1"/>
        <rFont val="Times New Roman"/>
        <family val="1"/>
      </rPr>
      <t xml:space="preserve"> =</t>
    </r>
  </si>
  <si>
    <r>
      <t>h</t>
    </r>
    <r>
      <rPr>
        <vertAlign val="subscript"/>
        <sz val="11"/>
        <color theme="1"/>
        <rFont val="Times New Roman"/>
        <family val="1"/>
      </rPr>
      <t>f</t>
    </r>
    <r>
      <rPr>
        <sz val="11"/>
        <color theme="1"/>
        <rFont val="Times New Roman"/>
        <family val="1"/>
      </rPr>
      <t xml:space="preserve"> =</t>
    </r>
  </si>
  <si>
    <r>
      <t>h</t>
    </r>
    <r>
      <rPr>
        <vertAlign val="subscript"/>
        <sz val="11"/>
        <color theme="1"/>
        <rFont val="Times New Roman"/>
        <family val="1"/>
      </rPr>
      <t>g</t>
    </r>
    <r>
      <rPr>
        <sz val="11"/>
        <color theme="1"/>
        <rFont val="Times New Roman"/>
        <family val="1"/>
      </rPr>
      <t xml:space="preserve"> =</t>
    </r>
  </si>
  <si>
    <t>From figure 24-31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</si>
</sst>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00"/>
    <numFmt numFmtId="165" formatCode="0.0000"/>
    <numFmt numFmtId="166" formatCode="0.0"/>
    <numFmt numFmtId="167" formatCode="0.0%"/>
    <numFmt numFmtId="168" formatCode="_(* #,##0.000_);_(* \(#,##0.000\);_(* &quot;-&quot;??_);_(@_)"/>
    <numFmt numFmtId="169" formatCode="_(* #,##0_);_(* \(#,##0\);_(* &quot;-&quot;??_);_(@_)"/>
    <numFmt numFmtId="170" formatCode="0.000000"/>
    <numFmt numFmtId="171" formatCode="0.00000"/>
  </numFmts>
  <fonts count="27" x14ac:knownFonts="1">
    <font>
      <sz val="10"/>
      <name val="Arial"/>
    </font>
    <font>
      <sz val="10"/>
      <name val="Times New Roman"/>
      <family val="1"/>
    </font>
    <font>
      <vertAlign val="subscript"/>
      <sz val="10"/>
      <name val="Times New Roman"/>
      <family val="1"/>
    </font>
    <font>
      <sz val="8"/>
      <name val="Arial"/>
      <family val="2"/>
    </font>
    <font>
      <b/>
      <sz val="10"/>
      <name val="Arial"/>
      <family val="2"/>
    </font>
    <font>
      <b/>
      <sz val="11"/>
      <name val="Times New Roman"/>
      <family val="1"/>
    </font>
    <font>
      <sz val="11"/>
      <name val="Times New Roman"/>
      <family val="1"/>
    </font>
    <font>
      <vertAlign val="subscript"/>
      <sz val="11"/>
      <name val="Times New Roman"/>
      <family val="1"/>
    </font>
    <font>
      <sz val="11"/>
      <color indexed="18"/>
      <name val="Times New Roman"/>
      <family val="1"/>
    </font>
    <font>
      <sz val="11"/>
      <color indexed="8"/>
      <name val="Times New Roman"/>
      <family val="1"/>
    </font>
    <font>
      <sz val="10"/>
      <color indexed="8"/>
      <name val="Times New Roman"/>
      <family val="1"/>
    </font>
    <font>
      <sz val="10"/>
      <name val="Arial"/>
      <family val="2"/>
    </font>
    <font>
      <sz val="10"/>
      <name val="Arial"/>
      <family val="2"/>
    </font>
    <font>
      <sz val="10"/>
      <name val="Arial"/>
      <family val="2"/>
    </font>
    <font>
      <b/>
      <sz val="8"/>
      <color indexed="63"/>
      <name val="Arial"/>
      <family val="2"/>
    </font>
    <font>
      <sz val="8"/>
      <color indexed="63"/>
      <name val="Arial"/>
      <family val="2"/>
    </font>
    <font>
      <i/>
      <sz val="11"/>
      <name val="Times New Roman"/>
      <family val="1"/>
    </font>
    <font>
      <b/>
      <sz val="10"/>
      <name val="Times New Roman"/>
      <family val="1"/>
    </font>
    <font>
      <sz val="11"/>
      <color rgb="FFC00000"/>
      <name val="Times New Roman"/>
      <family val="1"/>
    </font>
    <font>
      <vertAlign val="subscript"/>
      <sz val="11"/>
      <color theme="1"/>
      <name val="Times New Roman"/>
      <family val="1"/>
    </font>
    <font>
      <b/>
      <sz val="11"/>
      <color indexed="8"/>
      <name val="Times New Roman"/>
      <family val="1"/>
    </font>
    <font>
      <b/>
      <sz val="11"/>
      <name val="Arial"/>
      <family val="2"/>
    </font>
    <font>
      <sz val="11"/>
      <name val="Arial"/>
      <family val="2"/>
    </font>
    <font>
      <b/>
      <sz val="11"/>
      <color indexed="63"/>
      <name val="Arial"/>
      <family val="2"/>
    </font>
    <font>
      <sz val="11"/>
      <color theme="1"/>
      <name val="Times New Roman"/>
      <family val="1"/>
    </font>
    <font>
      <b/>
      <sz val="11"/>
      <color theme="1"/>
      <name val="Times New Roman"/>
      <family val="1"/>
    </font>
    <font>
      <sz val="10"/>
      <color theme="1"/>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5">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9" fontId="12" fillId="0" borderId="0" applyFont="0" applyFill="0" applyBorder="0" applyAlignment="0" applyProtection="0"/>
    <xf numFmtId="43" fontId="13" fillId="0" borderId="0" applyFont="0" applyFill="0" applyBorder="0" applyAlignment="0" applyProtection="0"/>
    <xf numFmtId="0" fontId="11" fillId="0" borderId="0"/>
  </cellStyleXfs>
  <cellXfs count="234">
    <xf numFmtId="0" fontId="0" fillId="0" borderId="0" xfId="0"/>
    <xf numFmtId="0" fontId="5" fillId="2" borderId="0" xfId="0" applyFont="1" applyFill="1" applyBorder="1" applyProtection="1"/>
    <xf numFmtId="0" fontId="6" fillId="2" borderId="0" xfId="0" applyFont="1" applyFill="1" applyBorder="1" applyProtection="1"/>
    <xf numFmtId="0" fontId="6" fillId="0" borderId="0" xfId="0" applyFont="1" applyProtection="1"/>
    <xf numFmtId="3" fontId="6" fillId="2" borderId="0" xfId="0" applyNumberFormat="1" applyFont="1" applyFill="1" applyBorder="1" applyAlignment="1" applyProtection="1">
      <alignment horizontal="center"/>
    </xf>
    <xf numFmtId="0" fontId="6" fillId="2" borderId="0" xfId="0" applyFont="1" applyFill="1" applyBorder="1" applyAlignment="1" applyProtection="1">
      <alignment horizontal="left"/>
    </xf>
    <xf numFmtId="167" fontId="6" fillId="2" borderId="0" xfId="0" applyNumberFormat="1" applyFont="1" applyFill="1" applyBorder="1" applyAlignment="1" applyProtection="1">
      <alignment horizontal="right"/>
    </xf>
    <xf numFmtId="166" fontId="6" fillId="2" borderId="0" xfId="0" applyNumberFormat="1" applyFont="1" applyFill="1" applyBorder="1" applyAlignment="1" applyProtection="1">
      <alignment horizontal="right"/>
    </xf>
    <xf numFmtId="43" fontId="6" fillId="2" borderId="0" xfId="2" applyNumberFormat="1" applyFont="1" applyFill="1" applyBorder="1" applyAlignment="1" applyProtection="1">
      <alignment horizontal="right"/>
    </xf>
    <xf numFmtId="0" fontId="6" fillId="3" borderId="0" xfId="0" applyFont="1" applyFill="1" applyBorder="1" applyProtection="1">
      <protection locked="0"/>
    </xf>
    <xf numFmtId="0" fontId="6" fillId="3" borderId="0" xfId="0" applyFont="1" applyFill="1" applyBorder="1" applyAlignment="1" applyProtection="1">
      <alignment horizontal="center"/>
      <protection locked="0"/>
    </xf>
    <xf numFmtId="0" fontId="6" fillId="3" borderId="0" xfId="0" applyFont="1" applyFill="1" applyBorder="1" applyAlignment="1" applyProtection="1">
      <alignment horizontal="left"/>
      <protection locked="0"/>
    </xf>
    <xf numFmtId="0" fontId="6" fillId="3" borderId="0" xfId="0" applyFont="1" applyFill="1" applyBorder="1" applyAlignment="1" applyProtection="1">
      <alignment horizontal="right"/>
      <protection locked="0"/>
    </xf>
    <xf numFmtId="166" fontId="6" fillId="3" borderId="0" xfId="0" applyNumberFormat="1" applyFont="1" applyFill="1" applyBorder="1" applyAlignment="1" applyProtection="1">
      <alignment horizontal="right"/>
      <protection locked="0"/>
    </xf>
    <xf numFmtId="169" fontId="6" fillId="2" borderId="0" xfId="2" applyNumberFormat="1" applyFont="1" applyFill="1" applyBorder="1" applyAlignment="1" applyProtection="1">
      <alignment horizontal="center"/>
    </xf>
    <xf numFmtId="9" fontId="6" fillId="2" borderId="0" xfId="0" applyNumberFormat="1" applyFont="1" applyFill="1" applyBorder="1" applyAlignment="1" applyProtection="1">
      <alignment horizontal="center"/>
    </xf>
    <xf numFmtId="164" fontId="6" fillId="2" borderId="0" xfId="0" applyNumberFormat="1" applyFont="1" applyFill="1" applyBorder="1" applyAlignment="1" applyProtection="1">
      <alignment horizontal="center"/>
    </xf>
    <xf numFmtId="3" fontId="6" fillId="2" borderId="0" xfId="0" applyNumberFormat="1" applyFont="1" applyFill="1" applyBorder="1" applyAlignment="1" applyProtection="1">
      <alignment horizontal="right"/>
    </xf>
    <xf numFmtId="0" fontId="6" fillId="3" borderId="0" xfId="0" applyFont="1" applyFill="1" applyBorder="1" applyAlignment="1" applyProtection="1">
      <protection locked="0"/>
    </xf>
    <xf numFmtId="0" fontId="8" fillId="2" borderId="0" xfId="0" applyFont="1" applyFill="1" applyBorder="1" applyProtection="1"/>
    <xf numFmtId="0" fontId="8" fillId="3" borderId="0" xfId="0" applyFont="1" applyFill="1" applyBorder="1" applyProtection="1"/>
    <xf numFmtId="165" fontId="6" fillId="2" borderId="0"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165" fontId="6" fillId="2" borderId="0" xfId="0" applyNumberFormat="1" applyFont="1" applyFill="1" applyBorder="1" applyAlignment="1" applyProtection="1"/>
    <xf numFmtId="166" fontId="6" fillId="2" borderId="0" xfId="0" applyNumberFormat="1" applyFont="1" applyFill="1" applyBorder="1" applyAlignment="1" applyProtection="1"/>
    <xf numFmtId="2" fontId="6" fillId="2" borderId="0" xfId="0" applyNumberFormat="1" applyFont="1" applyFill="1" applyBorder="1" applyAlignment="1" applyProtection="1"/>
    <xf numFmtId="9" fontId="6" fillId="2" borderId="0" xfId="1" applyFont="1" applyFill="1" applyBorder="1" applyAlignment="1" applyProtection="1"/>
    <xf numFmtId="169" fontId="6" fillId="2" borderId="0" xfId="2" applyNumberFormat="1" applyFont="1" applyFill="1" applyBorder="1" applyAlignment="1" applyProtection="1">
      <alignment horizontal="right"/>
    </xf>
    <xf numFmtId="3" fontId="6" fillId="2" borderId="0" xfId="0" applyNumberFormat="1" applyFont="1" applyFill="1" applyBorder="1" applyAlignment="1" applyProtection="1"/>
    <xf numFmtId="165" fontId="6" fillId="3" borderId="0" xfId="0" applyNumberFormat="1" applyFont="1" applyFill="1" applyBorder="1" applyAlignment="1" applyProtection="1">
      <protection locked="0"/>
    </xf>
    <xf numFmtId="166" fontId="6" fillId="3" borderId="0" xfId="0" applyNumberFormat="1" applyFont="1" applyFill="1" applyBorder="1" applyAlignment="1" applyProtection="1">
      <protection locked="0"/>
    </xf>
    <xf numFmtId="2" fontId="6" fillId="3" borderId="0" xfId="0" applyNumberFormat="1" applyFont="1" applyFill="1" applyBorder="1" applyAlignment="1" applyProtection="1">
      <protection locked="0"/>
    </xf>
    <xf numFmtId="169" fontId="6" fillId="3" borderId="0" xfId="2" applyNumberFormat="1" applyFont="1" applyFill="1" applyBorder="1" applyAlignment="1" applyProtection="1">
      <alignment horizontal="right"/>
      <protection locked="0"/>
    </xf>
    <xf numFmtId="0" fontId="8" fillId="3" borderId="0" xfId="0" applyFont="1" applyFill="1" applyBorder="1" applyProtection="1">
      <protection locked="0"/>
    </xf>
    <xf numFmtId="0" fontId="6" fillId="3" borderId="2" xfId="0" applyFont="1" applyFill="1" applyBorder="1" applyAlignment="1" applyProtection="1">
      <alignment horizontal="center"/>
      <protection locked="0"/>
    </xf>
    <xf numFmtId="2" fontId="6" fillId="3" borderId="0" xfId="0" applyNumberFormat="1" applyFont="1" applyFill="1" applyBorder="1" applyAlignment="1" applyProtection="1">
      <alignment horizontal="center"/>
      <protection locked="0"/>
    </xf>
    <xf numFmtId="164" fontId="6" fillId="3" borderId="0" xfId="0" applyNumberFormat="1" applyFont="1" applyFill="1" applyBorder="1" applyAlignment="1" applyProtection="1">
      <alignment horizontal="center"/>
      <protection locked="0"/>
    </xf>
    <xf numFmtId="165" fontId="6" fillId="3" borderId="0" xfId="0" applyNumberFormat="1" applyFont="1" applyFill="1" applyBorder="1" applyAlignment="1" applyProtection="1">
      <alignment horizontal="center"/>
      <protection locked="0"/>
    </xf>
    <xf numFmtId="0" fontId="6" fillId="2" borderId="0" xfId="0" applyFont="1" applyFill="1" applyBorder="1" applyAlignment="1" applyProtection="1">
      <alignment horizontal="right"/>
    </xf>
    <xf numFmtId="0" fontId="6" fillId="2" borderId="0" xfId="0" applyFont="1" applyFill="1" applyBorder="1" applyAlignment="1" applyProtection="1">
      <alignment horizontal="left" wrapText="1"/>
    </xf>
    <xf numFmtId="0" fontId="6" fillId="2" borderId="0" xfId="0" applyFont="1" applyFill="1" applyBorder="1" applyAlignment="1" applyProtection="1">
      <alignment horizontal="center"/>
    </xf>
    <xf numFmtId="0" fontId="6" fillId="2" borderId="0" xfId="0" applyFont="1" applyFill="1" applyBorder="1" applyAlignment="1" applyProtection="1"/>
    <xf numFmtId="0" fontId="6" fillId="4" borderId="0" xfId="0" applyFont="1" applyFill="1" applyBorder="1" applyProtection="1">
      <protection locked="0"/>
    </xf>
    <xf numFmtId="167" fontId="6" fillId="3" borderId="3" xfId="0" applyNumberFormat="1" applyFont="1" applyFill="1" applyBorder="1" applyAlignment="1" applyProtection="1">
      <alignment horizontal="right"/>
      <protection locked="0"/>
    </xf>
    <xf numFmtId="0" fontId="6" fillId="3" borderId="4" xfId="0" applyFont="1" applyFill="1" applyBorder="1" applyAlignment="1" applyProtection="1">
      <alignment horizontal="right"/>
      <protection locked="0"/>
    </xf>
    <xf numFmtId="166" fontId="6" fillId="3" borderId="4" xfId="0" applyNumberFormat="1" applyFont="1" applyFill="1" applyBorder="1" applyAlignment="1" applyProtection="1">
      <alignment horizontal="right"/>
      <protection locked="0"/>
    </xf>
    <xf numFmtId="2" fontId="6" fillId="3" borderId="4" xfId="0" applyNumberFormat="1" applyFont="1" applyFill="1" applyBorder="1" applyAlignment="1" applyProtection="1">
      <alignment horizontal="right"/>
      <protection locked="0"/>
    </xf>
    <xf numFmtId="169" fontId="6" fillId="4" borderId="0" xfId="2" applyNumberFormat="1" applyFont="1" applyFill="1" applyBorder="1" applyAlignment="1" applyProtection="1">
      <alignment horizontal="center"/>
      <protection locked="0"/>
    </xf>
    <xf numFmtId="0" fontId="6" fillId="4" borderId="0" xfId="0" applyFont="1" applyFill="1" applyBorder="1" applyAlignment="1" applyProtection="1">
      <alignment horizontal="center"/>
      <protection locked="0"/>
    </xf>
    <xf numFmtId="9" fontId="6" fillId="4" borderId="0" xfId="0" applyNumberFormat="1" applyFont="1" applyFill="1" applyBorder="1" applyAlignment="1" applyProtection="1">
      <alignment horizontal="center"/>
      <protection locked="0"/>
    </xf>
    <xf numFmtId="0" fontId="6" fillId="4" borderId="0" xfId="0" applyFont="1" applyFill="1" applyBorder="1" applyAlignment="1" applyProtection="1">
      <alignment horizontal="center"/>
    </xf>
    <xf numFmtId="3" fontId="6" fillId="3" borderId="4" xfId="0" applyNumberFormat="1" applyFont="1" applyFill="1" applyBorder="1" applyAlignment="1" applyProtection="1">
      <alignment horizontal="right"/>
      <protection locked="0"/>
    </xf>
    <xf numFmtId="0" fontId="6" fillId="4" borderId="0" xfId="0" applyFont="1" applyFill="1" applyBorder="1" applyAlignment="1" applyProtection="1">
      <protection locked="0"/>
    </xf>
    <xf numFmtId="9" fontId="6" fillId="4" borderId="0" xfId="1" applyFont="1" applyFill="1" applyBorder="1" applyAlignment="1" applyProtection="1">
      <protection locked="0"/>
    </xf>
    <xf numFmtId="1" fontId="6" fillId="3" borderId="4" xfId="0" applyNumberFormat="1" applyFont="1" applyFill="1" applyBorder="1" applyAlignment="1" applyProtection="1">
      <alignment horizontal="right"/>
      <protection locked="0"/>
    </xf>
    <xf numFmtId="3" fontId="6" fillId="2" borderId="4" xfId="0" applyNumberFormat="1" applyFont="1" applyFill="1" applyBorder="1" applyAlignment="1" applyProtection="1">
      <alignment horizontal="right"/>
    </xf>
    <xf numFmtId="0" fontId="6" fillId="2" borderId="5" xfId="0" applyFont="1" applyFill="1" applyBorder="1" applyAlignment="1" applyProtection="1">
      <alignment horizontal="left"/>
    </xf>
    <xf numFmtId="1" fontId="6" fillId="2" borderId="4" xfId="0" applyNumberFormat="1" applyFont="1" applyFill="1" applyBorder="1" applyAlignment="1" applyProtection="1">
      <alignment horizontal="right"/>
    </xf>
    <xf numFmtId="0" fontId="25" fillId="2" borderId="0" xfId="0" applyFont="1" applyFill="1" applyBorder="1" applyProtection="1"/>
    <xf numFmtId="0" fontId="24" fillId="2" borderId="0" xfId="0" applyFont="1" applyFill="1" applyBorder="1" applyAlignment="1" applyProtection="1">
      <alignment horizontal="center"/>
    </xf>
    <xf numFmtId="0" fontId="24" fillId="2" borderId="0" xfId="0" applyFont="1" applyFill="1" applyBorder="1" applyProtection="1"/>
    <xf numFmtId="0" fontId="24" fillId="4" borderId="0" xfId="0" applyFont="1" applyFill="1" applyBorder="1" applyAlignment="1" applyProtection="1">
      <alignment horizontal="center"/>
      <protection locked="0"/>
    </xf>
    <xf numFmtId="3" fontId="24" fillId="2" borderId="0" xfId="0" applyNumberFormat="1" applyFont="1" applyFill="1" applyBorder="1" applyAlignment="1" applyProtection="1">
      <alignment horizontal="center"/>
    </xf>
    <xf numFmtId="0" fontId="24" fillId="3" borderId="0" xfId="0" applyFont="1" applyFill="1" applyBorder="1" applyProtection="1">
      <protection locked="0"/>
    </xf>
    <xf numFmtId="0" fontId="24" fillId="2" borderId="0" xfId="0" applyFont="1" applyFill="1" applyBorder="1" applyAlignment="1" applyProtection="1">
      <alignment horizontal="left"/>
    </xf>
    <xf numFmtId="0" fontId="24" fillId="2" borderId="0" xfId="0" applyFont="1" applyFill="1" applyBorder="1" applyAlignment="1" applyProtection="1"/>
    <xf numFmtId="0" fontId="24" fillId="4" borderId="0" xfId="0" applyFont="1" applyFill="1" applyBorder="1" applyProtection="1">
      <protection locked="0"/>
    </xf>
    <xf numFmtId="0" fontId="24" fillId="3" borderId="0" xfId="0" applyFont="1" applyFill="1" applyBorder="1" applyAlignment="1" applyProtection="1">
      <protection locked="0"/>
    </xf>
    <xf numFmtId="0" fontId="24" fillId="2" borderId="0" xfId="0" applyFont="1" applyFill="1" applyBorder="1" applyAlignment="1" applyProtection="1">
      <alignment horizontal="right"/>
    </xf>
    <xf numFmtId="0" fontId="24" fillId="4" borderId="0" xfId="0" applyFont="1" applyFill="1" applyBorder="1" applyAlignment="1" applyProtection="1">
      <protection locked="0"/>
    </xf>
    <xf numFmtId="166" fontId="24" fillId="2" borderId="0" xfId="0" applyNumberFormat="1" applyFont="1" applyFill="1" applyBorder="1" applyAlignment="1" applyProtection="1"/>
    <xf numFmtId="166" fontId="24" fillId="4" borderId="0" xfId="0" applyNumberFormat="1" applyFont="1" applyFill="1" applyBorder="1" applyAlignment="1" applyProtection="1">
      <protection locked="0"/>
    </xf>
    <xf numFmtId="165" fontId="24" fillId="3" borderId="0" xfId="0" applyNumberFormat="1" applyFont="1" applyFill="1" applyBorder="1" applyProtection="1">
      <protection locked="0"/>
    </xf>
    <xf numFmtId="166" fontId="24" fillId="3" borderId="0" xfId="0" applyNumberFormat="1" applyFont="1" applyFill="1" applyBorder="1" applyProtection="1">
      <protection locked="0"/>
    </xf>
    <xf numFmtId="168" fontId="24" fillId="2" borderId="0" xfId="2" applyNumberFormat="1" applyFont="1" applyFill="1" applyBorder="1" applyAlignment="1" applyProtection="1"/>
    <xf numFmtId="168" fontId="24" fillId="3" borderId="0" xfId="2" applyNumberFormat="1" applyFont="1" applyFill="1" applyBorder="1" applyProtection="1">
      <protection locked="0"/>
    </xf>
    <xf numFmtId="164" fontId="24" fillId="3" borderId="0" xfId="0" applyNumberFormat="1" applyFont="1" applyFill="1" applyBorder="1" applyProtection="1">
      <protection locked="0"/>
    </xf>
    <xf numFmtId="0" fontId="24" fillId="2" borderId="4" xfId="0" applyFont="1" applyFill="1" applyBorder="1" applyAlignment="1" applyProtection="1"/>
    <xf numFmtId="0" fontId="24" fillId="2" borderId="6" xfId="0" applyFont="1" applyFill="1" applyBorder="1" applyAlignment="1" applyProtection="1"/>
    <xf numFmtId="0" fontId="24" fillId="2" borderId="5" xfId="0" applyFont="1" applyFill="1" applyBorder="1" applyAlignment="1" applyProtection="1"/>
    <xf numFmtId="2" fontId="24" fillId="3" borderId="4" xfId="0" applyNumberFormat="1" applyFont="1" applyFill="1" applyBorder="1" applyProtection="1">
      <protection locked="0"/>
    </xf>
    <xf numFmtId="3" fontId="24" fillId="2" borderId="0" xfId="0" applyNumberFormat="1" applyFont="1" applyFill="1" applyBorder="1" applyAlignment="1" applyProtection="1"/>
    <xf numFmtId="169" fontId="24" fillId="3" borderId="0" xfId="2" applyNumberFormat="1" applyFont="1" applyFill="1" applyBorder="1" applyProtection="1">
      <protection locked="0"/>
    </xf>
    <xf numFmtId="0" fontId="24" fillId="2" borderId="4" xfId="0" applyFont="1" applyFill="1" applyBorder="1" applyAlignment="1" applyProtection="1">
      <alignment horizontal="right"/>
    </xf>
    <xf numFmtId="0" fontId="24" fillId="2" borderId="6" xfId="0" applyFont="1" applyFill="1" applyBorder="1" applyProtection="1"/>
    <xf numFmtId="0" fontId="24" fillId="2" borderId="5" xfId="0" applyFont="1" applyFill="1" applyBorder="1" applyProtection="1"/>
    <xf numFmtId="0" fontId="24" fillId="4" borderId="6" xfId="0" applyFont="1" applyFill="1" applyBorder="1" applyAlignment="1" applyProtection="1">
      <protection locked="0"/>
    </xf>
    <xf numFmtId="165" fontId="24" fillId="3" borderId="0" xfId="0" applyNumberFormat="1" applyFont="1" applyFill="1" applyBorder="1" applyAlignment="1" applyProtection="1">
      <protection locked="0"/>
    </xf>
    <xf numFmtId="0" fontId="24" fillId="2" borderId="7" xfId="0" applyFont="1" applyFill="1" applyBorder="1" applyAlignment="1" applyProtection="1"/>
    <xf numFmtId="0" fontId="24" fillId="2" borderId="8" xfId="0" applyFont="1" applyFill="1" applyBorder="1" applyAlignment="1" applyProtection="1"/>
    <xf numFmtId="0" fontId="24" fillId="2" borderId="8" xfId="0" applyFont="1" applyFill="1" applyBorder="1" applyProtection="1"/>
    <xf numFmtId="0" fontId="24" fillId="2" borderId="9" xfId="0" applyFont="1" applyFill="1" applyBorder="1" applyProtection="1"/>
    <xf numFmtId="0" fontId="24" fillId="2" borderId="10" xfId="0" applyFont="1" applyFill="1" applyBorder="1" applyAlignment="1" applyProtection="1">
      <alignment horizontal="right"/>
    </xf>
    <xf numFmtId="0" fontId="24" fillId="2" borderId="11" xfId="0" applyFont="1" applyFill="1" applyBorder="1" applyProtection="1"/>
    <xf numFmtId="0" fontId="24" fillId="2" borderId="10" xfId="0" applyFont="1" applyFill="1" applyBorder="1" applyAlignment="1" applyProtection="1"/>
    <xf numFmtId="0" fontId="24" fillId="2" borderId="12" xfId="0" applyFont="1" applyFill="1" applyBorder="1" applyAlignment="1" applyProtection="1"/>
    <xf numFmtId="0" fontId="24" fillId="2" borderId="2" xfId="0" applyFont="1" applyFill="1" applyBorder="1" applyAlignment="1" applyProtection="1"/>
    <xf numFmtId="0" fontId="24" fillId="2" borderId="2" xfId="0" applyFont="1" applyFill="1" applyBorder="1" applyProtection="1"/>
    <xf numFmtId="0" fontId="24" fillId="2" borderId="13" xfId="0" applyFont="1" applyFill="1" applyBorder="1" applyProtection="1"/>
    <xf numFmtId="2" fontId="24" fillId="3" borderId="0" xfId="0" applyNumberFormat="1" applyFont="1" applyFill="1" applyBorder="1" applyProtection="1">
      <protection locked="0"/>
    </xf>
    <xf numFmtId="2" fontId="24" fillId="3" borderId="7" xfId="0" applyNumberFormat="1" applyFont="1" applyFill="1" applyBorder="1" applyProtection="1">
      <protection locked="0"/>
    </xf>
    <xf numFmtId="3" fontId="24" fillId="2" borderId="4" xfId="0" applyNumberFormat="1" applyFont="1" applyFill="1" applyBorder="1" applyAlignment="1" applyProtection="1"/>
    <xf numFmtId="169" fontId="24" fillId="3" borderId="4" xfId="2" applyNumberFormat="1" applyFont="1" applyFill="1" applyBorder="1" applyProtection="1">
      <protection locked="0"/>
    </xf>
    <xf numFmtId="0" fontId="6" fillId="0" borderId="0" xfId="3" applyFont="1" applyProtection="1"/>
    <xf numFmtId="0" fontId="11" fillId="0" borderId="0" xfId="3" applyProtection="1"/>
    <xf numFmtId="0" fontId="0" fillId="0" borderId="0" xfId="0" applyProtection="1"/>
    <xf numFmtId="0" fontId="17" fillId="5" borderId="3" xfId="3" applyFont="1" applyFill="1" applyBorder="1" applyAlignment="1" applyProtection="1">
      <alignment horizontal="center"/>
    </xf>
    <xf numFmtId="0" fontId="17" fillId="5" borderId="3" xfId="3" applyFont="1" applyFill="1" applyBorder="1" applyAlignment="1" applyProtection="1">
      <alignment horizontal="left"/>
    </xf>
    <xf numFmtId="0" fontId="6" fillId="0" borderId="3" xfId="3" applyFont="1" applyBorder="1" applyAlignment="1" applyProtection="1">
      <alignment horizontal="center"/>
    </xf>
    <xf numFmtId="14" fontId="6" fillId="0" borderId="3" xfId="3" applyNumberFormat="1" applyFont="1" applyBorder="1" applyAlignment="1" applyProtection="1">
      <alignment horizontal="center"/>
    </xf>
    <xf numFmtId="0" fontId="6" fillId="0" borderId="3" xfId="3" applyFont="1" applyBorder="1" applyProtection="1"/>
    <xf numFmtId="0" fontId="1" fillId="0" borderId="3" xfId="3" applyFont="1" applyBorder="1" applyProtection="1"/>
    <xf numFmtId="0" fontId="0" fillId="0" borderId="0" xfId="0" applyAlignment="1" applyProtection="1">
      <alignment horizontal="center" vertical="top"/>
    </xf>
    <xf numFmtId="0" fontId="1" fillId="0" borderId="0" xfId="0" applyFont="1" applyAlignment="1" applyProtection="1">
      <alignment vertical="top" wrapText="1"/>
    </xf>
    <xf numFmtId="0" fontId="1" fillId="0" borderId="0" xfId="0" applyFont="1" applyProtection="1"/>
    <xf numFmtId="0" fontId="1" fillId="0" borderId="0" xfId="0" applyFont="1" applyAlignment="1" applyProtection="1">
      <alignment horizontal="center" vertical="top"/>
    </xf>
    <xf numFmtId="0" fontId="20" fillId="0" borderId="0" xfId="0" applyFont="1" applyProtection="1"/>
    <xf numFmtId="0" fontId="9" fillId="0" borderId="0" xfId="0" applyFont="1" applyProtection="1"/>
    <xf numFmtId="0" fontId="10" fillId="0" borderId="0" xfId="0" applyFont="1" applyAlignment="1" applyProtection="1">
      <alignment horizontal="center"/>
    </xf>
    <xf numFmtId="0" fontId="10" fillId="0" borderId="0" xfId="0" applyFont="1" applyProtection="1"/>
    <xf numFmtId="2" fontId="0" fillId="0" borderId="0" xfId="0" applyNumberFormat="1" applyAlignment="1" applyProtection="1">
      <alignment horizontal="center" vertical="top"/>
    </xf>
    <xf numFmtId="2" fontId="1" fillId="0" borderId="0" xfId="0" applyNumberFormat="1" applyFont="1" applyProtection="1"/>
    <xf numFmtId="166" fontId="1" fillId="0" borderId="0" xfId="0" applyNumberFormat="1" applyFont="1" applyProtection="1"/>
    <xf numFmtId="0" fontId="6" fillId="0" borderId="0" xfId="3" applyFont="1" applyProtection="1">
      <protection locked="0"/>
    </xf>
    <xf numFmtId="0" fontId="6" fillId="0" borderId="0" xfId="0" applyFont="1" applyAlignment="1" applyProtection="1">
      <alignment horizontal="center"/>
      <protection locked="0"/>
    </xf>
    <xf numFmtId="0" fontId="6" fillId="0" borderId="0" xfId="0" applyFont="1" applyProtection="1">
      <protection locked="0"/>
    </xf>
    <xf numFmtId="0" fontId="6" fillId="2" borderId="0" xfId="0" applyFont="1" applyFill="1" applyBorder="1" applyAlignment="1" applyProtection="1">
      <alignment horizontal="center"/>
      <protection locked="0"/>
    </xf>
    <xf numFmtId="0" fontId="6" fillId="2" borderId="0" xfId="0" applyFont="1" applyFill="1" applyBorder="1" applyProtection="1">
      <protection locked="0"/>
    </xf>
    <xf numFmtId="0" fontId="5" fillId="3" borderId="0" xfId="0" applyFont="1" applyFill="1" applyBorder="1" applyProtection="1">
      <protection locked="0"/>
    </xf>
    <xf numFmtId="0" fontId="6" fillId="3" borderId="0" xfId="0" applyFont="1" applyFill="1" applyBorder="1" applyAlignment="1" applyProtection="1">
      <alignment horizontal="left" wrapText="1"/>
      <protection locked="0"/>
    </xf>
    <xf numFmtId="3" fontId="6" fillId="3" borderId="0" xfId="0" applyNumberFormat="1" applyFont="1" applyFill="1" applyBorder="1" applyAlignment="1" applyProtection="1">
      <alignment horizontal="center"/>
      <protection locked="0"/>
    </xf>
    <xf numFmtId="0" fontId="6" fillId="2" borderId="0" xfId="0" applyFont="1" applyFill="1" applyBorder="1" applyAlignment="1" applyProtection="1">
      <alignment horizontal="left"/>
      <protection locked="0"/>
    </xf>
    <xf numFmtId="0" fontId="6" fillId="3" borderId="6" xfId="0" applyFont="1" applyFill="1" applyBorder="1" applyAlignment="1" applyProtection="1">
      <alignment horizontal="left"/>
      <protection locked="0"/>
    </xf>
    <xf numFmtId="0" fontId="6" fillId="3" borderId="5" xfId="0" applyFont="1" applyFill="1" applyBorder="1" applyProtection="1">
      <protection locked="0"/>
    </xf>
    <xf numFmtId="0" fontId="6" fillId="3" borderId="5" xfId="0" applyFont="1" applyFill="1" applyBorder="1" applyAlignment="1" applyProtection="1">
      <alignment horizontal="left"/>
      <protection locked="0"/>
    </xf>
    <xf numFmtId="0" fontId="18" fillId="0" borderId="0" xfId="3" applyFont="1" applyFill="1" applyProtection="1">
      <protection locked="0"/>
    </xf>
    <xf numFmtId="0" fontId="18" fillId="0" borderId="0" xfId="3" applyFont="1" applyProtection="1">
      <protection locked="0"/>
    </xf>
    <xf numFmtId="166" fontId="6" fillId="0" borderId="0" xfId="0" applyNumberFormat="1" applyFont="1" applyAlignment="1" applyProtection="1">
      <alignment horizontal="center"/>
      <protection locked="0"/>
    </xf>
    <xf numFmtId="169" fontId="6" fillId="0" borderId="0" xfId="2" applyNumberFormat="1" applyFont="1" applyAlignment="1" applyProtection="1">
      <alignment horizontal="center"/>
      <protection locked="0"/>
    </xf>
    <xf numFmtId="1" fontId="6" fillId="0" borderId="0" xfId="0" applyNumberFormat="1" applyFont="1" applyAlignment="1" applyProtection="1">
      <alignment horizontal="center"/>
      <protection locked="0"/>
    </xf>
    <xf numFmtId="164" fontId="6" fillId="2" borderId="0" xfId="0" applyNumberFormat="1" applyFont="1" applyFill="1" applyBorder="1" applyAlignment="1" applyProtection="1">
      <alignment horizontal="center"/>
      <protection locked="0"/>
    </xf>
    <xf numFmtId="0" fontId="6" fillId="3" borderId="5" xfId="0" applyFont="1" applyFill="1" applyBorder="1" applyAlignment="1" applyProtection="1">
      <protection locked="0"/>
    </xf>
    <xf numFmtId="166" fontId="6" fillId="3" borderId="0" xfId="0" applyNumberFormat="1" applyFont="1" applyFill="1" applyBorder="1" applyAlignment="1" applyProtection="1">
      <alignment horizontal="center"/>
      <protection locked="0"/>
    </xf>
    <xf numFmtId="0" fontId="24" fillId="0" borderId="0" xfId="3" applyFont="1" applyProtection="1">
      <protection locked="0"/>
    </xf>
    <xf numFmtId="0" fontId="24" fillId="0" borderId="0" xfId="0" applyFont="1" applyAlignment="1" applyProtection="1">
      <alignment horizontal="center"/>
      <protection locked="0"/>
    </xf>
    <xf numFmtId="0" fontId="24" fillId="0" borderId="0" xfId="0" applyFont="1" applyProtection="1">
      <protection locked="0"/>
    </xf>
    <xf numFmtId="0" fontId="24" fillId="0" borderId="0" xfId="0" applyFont="1" applyBorder="1" applyProtection="1">
      <protection locked="0"/>
    </xf>
    <xf numFmtId="0" fontId="25" fillId="3" borderId="0" xfId="0" applyFont="1" applyFill="1" applyBorder="1" applyProtection="1">
      <protection locked="0"/>
    </xf>
    <xf numFmtId="0" fontId="24" fillId="3" borderId="0" xfId="0" applyFont="1" applyFill="1" applyBorder="1" applyAlignment="1" applyProtection="1">
      <alignment horizontal="right"/>
      <protection locked="0"/>
    </xf>
    <xf numFmtId="1" fontId="24" fillId="3" borderId="0" xfId="0" applyNumberFormat="1" applyFont="1" applyFill="1" applyBorder="1" applyProtection="1">
      <protection locked="0"/>
    </xf>
    <xf numFmtId="0" fontId="24" fillId="3" borderId="6" xfId="0" applyFont="1" applyFill="1" applyBorder="1" applyProtection="1">
      <protection locked="0"/>
    </xf>
    <xf numFmtId="0" fontId="24" fillId="3" borderId="5" xfId="0" applyFont="1" applyFill="1" applyBorder="1" applyProtection="1">
      <protection locked="0"/>
    </xf>
    <xf numFmtId="0" fontId="24" fillId="3" borderId="4" xfId="0" applyFont="1" applyFill="1" applyBorder="1" applyAlignment="1" applyProtection="1">
      <alignment horizontal="right"/>
      <protection locked="0"/>
    </xf>
    <xf numFmtId="0" fontId="24" fillId="3" borderId="7" xfId="0" applyFont="1" applyFill="1" applyBorder="1" applyProtection="1">
      <protection locked="0"/>
    </xf>
    <xf numFmtId="0" fontId="24" fillId="3" borderId="8" xfId="0" applyFont="1" applyFill="1" applyBorder="1" applyProtection="1">
      <protection locked="0"/>
    </xf>
    <xf numFmtId="0" fontId="24" fillId="3" borderId="9" xfId="0" applyFont="1" applyFill="1" applyBorder="1" applyProtection="1">
      <protection locked="0"/>
    </xf>
    <xf numFmtId="0" fontId="24" fillId="3" borderId="10" xfId="0" applyFont="1" applyFill="1" applyBorder="1" applyAlignment="1" applyProtection="1">
      <alignment horizontal="right"/>
      <protection locked="0"/>
    </xf>
    <xf numFmtId="0" fontId="24" fillId="3" borderId="11" xfId="0" applyFont="1" applyFill="1" applyBorder="1" applyProtection="1">
      <protection locked="0"/>
    </xf>
    <xf numFmtId="0" fontId="24" fillId="3" borderId="10" xfId="0" applyFont="1" applyFill="1" applyBorder="1" applyProtection="1">
      <protection locked="0"/>
    </xf>
    <xf numFmtId="0" fontId="24" fillId="3" borderId="12" xfId="0" applyFont="1" applyFill="1" applyBorder="1" applyProtection="1">
      <protection locked="0"/>
    </xf>
    <xf numFmtId="0" fontId="24" fillId="3" borderId="2" xfId="0" applyFont="1" applyFill="1" applyBorder="1" applyProtection="1">
      <protection locked="0"/>
    </xf>
    <xf numFmtId="0" fontId="24" fillId="3" borderId="13" xfId="0" applyFont="1" applyFill="1" applyBorder="1" applyProtection="1">
      <protection locked="0"/>
    </xf>
    <xf numFmtId="0" fontId="24" fillId="0" borderId="0" xfId="3" applyFont="1" applyFill="1" applyProtection="1">
      <protection locked="0"/>
    </xf>
    <xf numFmtId="0" fontId="16" fillId="3" borderId="0" xfId="0" applyFont="1" applyFill="1" applyBorder="1" applyProtection="1">
      <protection locked="0"/>
    </xf>
    <xf numFmtId="3" fontId="5" fillId="3" borderId="0" xfId="0" applyNumberFormat="1" applyFont="1" applyFill="1" applyBorder="1" applyAlignment="1" applyProtection="1">
      <alignment horizontal="center"/>
      <protection locked="0"/>
    </xf>
    <xf numFmtId="3" fontId="6" fillId="3" borderId="0" xfId="0" applyNumberFormat="1" applyFont="1" applyFill="1" applyBorder="1" applyAlignment="1" applyProtection="1">
      <protection locked="0"/>
    </xf>
    <xf numFmtId="0" fontId="11" fillId="0" borderId="0" xfId="0" applyFont="1" applyProtection="1"/>
    <xf numFmtId="0" fontId="18" fillId="0" borderId="0" xfId="3" applyFont="1" applyFill="1" applyProtection="1"/>
    <xf numFmtId="0" fontId="18" fillId="0" borderId="0" xfId="3" applyFont="1" applyProtection="1"/>
    <xf numFmtId="0" fontId="22" fillId="0" borderId="0" xfId="0" applyFont="1" applyFill="1" applyAlignment="1" applyProtection="1">
      <alignment wrapText="1"/>
    </xf>
    <xf numFmtId="0" fontId="22" fillId="0" borderId="0" xfId="0" applyFont="1" applyAlignment="1" applyProtection="1">
      <alignment wrapText="1"/>
    </xf>
    <xf numFmtId="0" fontId="22" fillId="0" borderId="14" xfId="0" applyFont="1" applyFill="1" applyBorder="1" applyAlignment="1" applyProtection="1">
      <alignment wrapText="1"/>
    </xf>
    <xf numFmtId="0" fontId="23" fillId="0" borderId="14" xfId="0" applyFont="1" applyFill="1" applyBorder="1" applyAlignment="1" applyProtection="1">
      <alignment wrapText="1"/>
    </xf>
    <xf numFmtId="0" fontId="22" fillId="0" borderId="7" xfId="0" applyFont="1" applyFill="1" applyBorder="1" applyAlignment="1" applyProtection="1">
      <alignment wrapText="1"/>
    </xf>
    <xf numFmtId="0" fontId="22" fillId="0" borderId="8" xfId="0" applyFont="1" applyFill="1" applyBorder="1" applyAlignment="1" applyProtection="1">
      <alignment wrapText="1"/>
    </xf>
    <xf numFmtId="0" fontId="22" fillId="0" borderId="9" xfId="0" applyFont="1" applyFill="1" applyBorder="1" applyAlignment="1" applyProtection="1">
      <alignment wrapText="1"/>
    </xf>
    <xf numFmtId="0" fontId="21" fillId="0" borderId="3"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22" fillId="0" borderId="0" xfId="0" applyFont="1" applyAlignment="1" applyProtection="1">
      <alignment vertical="center"/>
    </xf>
    <xf numFmtId="0" fontId="0" fillId="0" borderId="3" xfId="0" applyFill="1" applyBorder="1" applyAlignment="1" applyProtection="1">
      <alignment horizontal="center"/>
    </xf>
    <xf numFmtId="0" fontId="11" fillId="0" borderId="3" xfId="0" applyFont="1" applyFill="1" applyBorder="1" applyAlignment="1" applyProtection="1">
      <alignment horizontal="center"/>
    </xf>
    <xf numFmtId="0" fontId="0" fillId="0" borderId="3" xfId="0" applyNumberFormat="1" applyFill="1" applyBorder="1" applyAlignment="1" applyProtection="1">
      <alignment horizontal="center"/>
    </xf>
    <xf numFmtId="2" fontId="0" fillId="0" borderId="3" xfId="0" applyNumberFormat="1" applyFill="1" applyBorder="1" applyAlignment="1" applyProtection="1">
      <alignment horizontal="center"/>
    </xf>
    <xf numFmtId="1" fontId="0" fillId="0" borderId="3" xfId="0" applyNumberFormat="1" applyFill="1" applyBorder="1" applyAlignment="1" applyProtection="1">
      <alignment horizontal="center"/>
    </xf>
    <xf numFmtId="1" fontId="4" fillId="0" borderId="3" xfId="0" applyNumberFormat="1" applyFont="1" applyFill="1" applyBorder="1" applyAlignment="1" applyProtection="1">
      <alignment horizontal="center"/>
    </xf>
    <xf numFmtId="0" fontId="0" fillId="0" borderId="3" xfId="0" applyBorder="1" applyAlignment="1" applyProtection="1">
      <alignment horizontal="center"/>
    </xf>
    <xf numFmtId="0" fontId="11" fillId="0" borderId="3" xfId="0" applyFont="1" applyBorder="1" applyAlignment="1" applyProtection="1">
      <alignment horizontal="center"/>
    </xf>
    <xf numFmtId="170" fontId="0" fillId="0" borderId="3" xfId="0" applyNumberFormat="1" applyBorder="1" applyAlignment="1" applyProtection="1">
      <alignment horizontal="center"/>
    </xf>
    <xf numFmtId="166" fontId="0" fillId="0" borderId="3" xfId="0" applyNumberFormat="1" applyBorder="1" applyAlignment="1" applyProtection="1">
      <alignment horizontal="center"/>
    </xf>
    <xf numFmtId="165" fontId="0" fillId="0" borderId="3" xfId="0" applyNumberFormat="1" applyBorder="1" applyAlignment="1" applyProtection="1">
      <alignment horizontal="center"/>
    </xf>
    <xf numFmtId="2" fontId="0" fillId="0" borderId="3" xfId="0" applyNumberFormat="1" applyBorder="1" applyAlignment="1" applyProtection="1">
      <alignment horizontal="center"/>
    </xf>
    <xf numFmtId="164" fontId="0" fillId="0" borderId="3" xfId="0" applyNumberFormat="1" applyBorder="1" applyAlignment="1" applyProtection="1">
      <alignment horizontal="center"/>
    </xf>
    <xf numFmtId="171" fontId="0" fillId="0" borderId="3" xfId="0" applyNumberFormat="1" applyBorder="1" applyAlignment="1" applyProtection="1">
      <alignment horizontal="center"/>
    </xf>
    <xf numFmtId="0" fontId="5" fillId="0" borderId="0" xfId="0" applyFont="1" applyAlignment="1" applyProtection="1">
      <alignment horizontal="center" vertical="top" wrapText="1"/>
    </xf>
    <xf numFmtId="0" fontId="6" fillId="0" borderId="0" xfId="0" applyFont="1" applyAlignment="1" applyProtection="1">
      <alignment horizontal="center"/>
    </xf>
    <xf numFmtId="0" fontId="5" fillId="0" borderId="1" xfId="0" applyFont="1" applyBorder="1" applyAlignment="1" applyProtection="1">
      <alignment horizontal="center" vertical="top" wrapText="1"/>
    </xf>
    <xf numFmtId="0" fontId="6" fillId="0" borderId="1" xfId="0" applyFont="1" applyBorder="1" applyAlignment="1" applyProtection="1">
      <alignment horizontal="center"/>
    </xf>
    <xf numFmtId="0" fontId="6" fillId="3" borderId="0" xfId="0" applyFont="1" applyFill="1" applyBorder="1" applyAlignment="1" applyProtection="1">
      <alignment horizontal="right"/>
      <protection locked="0"/>
    </xf>
    <xf numFmtId="0" fontId="0" fillId="3" borderId="0" xfId="0" applyFill="1" applyBorder="1" applyAlignment="1" applyProtection="1">
      <alignment horizontal="right"/>
      <protection locked="0"/>
    </xf>
    <xf numFmtId="0" fontId="6" fillId="3" borderId="0" xfId="0" applyFont="1" applyFill="1" applyBorder="1" applyAlignment="1" applyProtection="1">
      <alignment horizontal="right"/>
    </xf>
    <xf numFmtId="0" fontId="0" fillId="3" borderId="0" xfId="0" applyFill="1" applyBorder="1" applyAlignment="1" applyProtection="1">
      <alignment horizontal="right"/>
    </xf>
    <xf numFmtId="0" fontId="6" fillId="3" borderId="0" xfId="0" applyFont="1" applyFill="1" applyBorder="1" applyAlignment="1" applyProtection="1">
      <alignment wrapText="1"/>
      <protection locked="0"/>
    </xf>
    <xf numFmtId="0" fontId="0" fillId="0" borderId="0" xfId="0" applyAlignment="1" applyProtection="1">
      <alignment wrapText="1"/>
      <protection locked="0"/>
    </xf>
    <xf numFmtId="0" fontId="6" fillId="3" borderId="0" xfId="0" applyFont="1" applyFill="1" applyBorder="1" applyAlignment="1" applyProtection="1">
      <alignment wrapText="1"/>
    </xf>
    <xf numFmtId="0" fontId="0" fillId="0" borderId="0" xfId="0" applyAlignment="1" applyProtection="1">
      <alignment wrapText="1"/>
    </xf>
    <xf numFmtId="0" fontId="6" fillId="2" borderId="0" xfId="0" applyFont="1" applyFill="1" applyBorder="1" applyAlignment="1" applyProtection="1">
      <alignment horizontal="right"/>
    </xf>
    <xf numFmtId="0" fontId="0" fillId="2" borderId="0" xfId="0" applyFill="1" applyBorder="1" applyAlignment="1" applyProtection="1">
      <alignment horizontal="right"/>
    </xf>
    <xf numFmtId="0" fontId="6" fillId="2" borderId="0" xfId="0" applyFont="1" applyFill="1" applyBorder="1" applyAlignment="1" applyProtection="1">
      <alignment horizontal="left" wrapText="1"/>
    </xf>
    <xf numFmtId="0" fontId="6" fillId="2" borderId="0" xfId="0" applyFont="1" applyFill="1" applyBorder="1" applyAlignment="1" applyProtection="1">
      <alignment horizontal="center"/>
    </xf>
    <xf numFmtId="0" fontId="6" fillId="3" borderId="0" xfId="0" applyFont="1" applyFill="1" applyBorder="1" applyAlignment="1" applyProtection="1">
      <alignment horizontal="left" wrapText="1"/>
      <protection locked="0"/>
    </xf>
    <xf numFmtId="0" fontId="6" fillId="4" borderId="0" xfId="0" applyFont="1" applyFill="1" applyBorder="1" applyAlignment="1" applyProtection="1">
      <alignment horizontal="center"/>
      <protection locked="0"/>
    </xf>
    <xf numFmtId="0" fontId="6" fillId="3" borderId="0" xfId="0" applyFont="1" applyFill="1" applyBorder="1" applyAlignment="1" applyProtection="1">
      <alignment horizontal="center"/>
      <protection locked="0"/>
    </xf>
    <xf numFmtId="0" fontId="6" fillId="4" borderId="0" xfId="0" applyFont="1" applyFill="1" applyBorder="1" applyAlignment="1" applyProtection="1">
      <alignment horizontal="center" wrapText="1"/>
      <protection locked="0"/>
    </xf>
    <xf numFmtId="0" fontId="0" fillId="4" borderId="0" xfId="0" applyFill="1" applyBorder="1" applyAlignment="1" applyProtection="1">
      <alignment horizontal="center" wrapText="1"/>
      <protection locked="0"/>
    </xf>
    <xf numFmtId="0" fontId="6" fillId="2" borderId="0" xfId="0" applyFont="1" applyFill="1" applyBorder="1" applyAlignment="1" applyProtection="1">
      <alignment wrapText="1"/>
    </xf>
    <xf numFmtId="0" fontId="6" fillId="2" borderId="0" xfId="0" applyFont="1" applyFill="1" applyBorder="1" applyAlignment="1" applyProtection="1">
      <alignment wrapText="1"/>
      <protection locked="0"/>
    </xf>
    <xf numFmtId="2" fontId="6" fillId="2" borderId="0" xfId="0" applyNumberFormat="1" applyFont="1" applyFill="1" applyBorder="1" applyAlignment="1" applyProtection="1">
      <alignment horizontal="left" wrapText="1"/>
    </xf>
    <xf numFmtId="2" fontId="6" fillId="3" borderId="0" xfId="0" applyNumberFormat="1" applyFont="1" applyFill="1" applyBorder="1" applyAlignment="1" applyProtection="1">
      <alignment horizontal="left" wrapText="1"/>
      <protection locked="0"/>
    </xf>
    <xf numFmtId="0" fontId="5" fillId="2" borderId="0" xfId="0" applyFont="1" applyFill="1" applyBorder="1" applyAlignment="1" applyProtection="1">
      <alignment horizontal="left" wrapText="1"/>
    </xf>
    <xf numFmtId="0" fontId="6" fillId="2" borderId="0" xfId="0" applyFont="1" applyFill="1" applyBorder="1" applyAlignment="1" applyProtection="1"/>
    <xf numFmtId="0" fontId="5" fillId="3" borderId="0" xfId="0" applyFont="1" applyFill="1" applyBorder="1" applyAlignment="1" applyProtection="1">
      <alignment horizontal="left" vertical="top" wrapText="1"/>
      <protection locked="0"/>
    </xf>
    <xf numFmtId="0" fontId="6" fillId="3" borderId="0" xfId="0" applyFont="1" applyFill="1" applyBorder="1" applyAlignment="1" applyProtection="1">
      <alignment vertical="top" wrapText="1"/>
      <protection locked="0"/>
    </xf>
    <xf numFmtId="0" fontId="25" fillId="2" borderId="0" xfId="0" applyFont="1" applyFill="1" applyBorder="1" applyAlignment="1" applyProtection="1">
      <alignment wrapText="1"/>
    </xf>
    <xf numFmtId="0" fontId="26" fillId="2" borderId="0" xfId="0" applyFont="1" applyFill="1" applyBorder="1" applyAlignment="1" applyProtection="1">
      <alignment wrapText="1"/>
    </xf>
    <xf numFmtId="0" fontId="25" fillId="3" borderId="0" xfId="0" applyFont="1" applyFill="1" applyBorder="1" applyAlignment="1" applyProtection="1">
      <alignment wrapText="1"/>
      <protection locked="0"/>
    </xf>
    <xf numFmtId="0" fontId="26" fillId="3" borderId="0" xfId="0" applyFont="1" applyFill="1" applyBorder="1" applyAlignment="1" applyProtection="1">
      <alignment wrapText="1"/>
      <protection locked="0"/>
    </xf>
    <xf numFmtId="0" fontId="24" fillId="2" borderId="0" xfId="0" applyFont="1" applyFill="1" applyBorder="1" applyAlignment="1" applyProtection="1">
      <alignment horizontal="left" wrapText="1"/>
    </xf>
    <xf numFmtId="0" fontId="24" fillId="3" borderId="0" xfId="0" applyFont="1" applyFill="1" applyBorder="1" applyAlignment="1" applyProtection="1">
      <alignment wrapText="1"/>
      <protection locked="0"/>
    </xf>
    <xf numFmtId="0" fontId="5" fillId="2" borderId="0" xfId="0" applyFont="1" applyFill="1" applyBorder="1" applyAlignment="1" applyProtection="1">
      <alignment wrapText="1"/>
    </xf>
    <xf numFmtId="0" fontId="5" fillId="3" borderId="0" xfId="0" applyFont="1" applyFill="1" applyBorder="1" applyAlignment="1" applyProtection="1">
      <alignment wrapText="1"/>
      <protection locked="0"/>
    </xf>
    <xf numFmtId="0" fontId="22" fillId="0" borderId="4" xfId="0" applyFont="1" applyFill="1" applyBorder="1" applyAlignment="1" applyProtection="1">
      <alignment horizontal="center" wrapText="1"/>
    </xf>
    <xf numFmtId="0" fontId="22" fillId="0" borderId="6" xfId="0" applyFont="1" applyFill="1" applyBorder="1" applyAlignment="1" applyProtection="1">
      <alignment horizontal="center" wrapText="1"/>
    </xf>
    <xf numFmtId="0" fontId="22" fillId="0" borderId="5" xfId="0" applyFont="1" applyFill="1" applyBorder="1" applyAlignment="1" applyProtection="1">
      <alignment horizontal="center" wrapText="1"/>
    </xf>
    <xf numFmtId="0" fontId="11" fillId="0" borderId="3" xfId="0" applyFont="1" applyBorder="1" applyAlignment="1" applyProtection="1">
      <alignment horizontal="center"/>
    </xf>
  </cellXfs>
  <cellStyles count="4">
    <cellStyle name="Comma" xfId="2" builtinId="3"/>
    <cellStyle name="Normal" xfId="0" builtinId="0"/>
    <cellStyle name="Normal 2" xfId="3"/>
    <cellStyle name="Percent" xfId="1" builtinId="5"/>
  </cellStyles>
  <dxfs count="0"/>
  <tableStyles count="0" defaultTableStyle="TableStyleMedium9" defaultPivotStyle="PivotStyleLight16"/>
  <colors>
    <mruColors>
      <color rgb="FFCC6600"/>
      <color rgb="FFFFFF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F25" sqref="F25"/>
    </sheetView>
  </sheetViews>
  <sheetFormatPr defaultRowHeight="12.75" x14ac:dyDescent="0.2"/>
  <cols>
    <col min="1" max="2" width="9.140625" style="105"/>
    <col min="3" max="3" width="25.140625" style="105" customWidth="1"/>
    <col min="4" max="16384" width="9.140625" style="105"/>
  </cols>
  <sheetData>
    <row r="1" spans="1:3" ht="15" x14ac:dyDescent="0.25">
      <c r="A1" s="103" t="s">
        <v>384</v>
      </c>
      <c r="B1" s="104"/>
      <c r="C1" s="104"/>
    </row>
    <row r="4" spans="1:3" x14ac:dyDescent="0.2">
      <c r="A4" s="106" t="s">
        <v>385</v>
      </c>
      <c r="B4" s="106" t="s">
        <v>386</v>
      </c>
      <c r="C4" s="107" t="s">
        <v>387</v>
      </c>
    </row>
    <row r="5" spans="1:3" ht="15" x14ac:dyDescent="0.25">
      <c r="A5" s="108">
        <v>0</v>
      </c>
      <c r="B5" s="109">
        <v>42826</v>
      </c>
      <c r="C5" s="110" t="s">
        <v>388</v>
      </c>
    </row>
    <row r="6" spans="1:3" ht="15" x14ac:dyDescent="0.25">
      <c r="A6" s="110"/>
      <c r="B6" s="110"/>
      <c r="C6" s="110"/>
    </row>
    <row r="7" spans="1:3" x14ac:dyDescent="0.2">
      <c r="A7" s="111"/>
      <c r="B7" s="111"/>
      <c r="C7" s="111"/>
    </row>
  </sheetData>
  <sheetProtection password="E156"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tabSelected="1" zoomScaleNormal="100" workbookViewId="0">
      <selection activeCell="G28" sqref="G28"/>
    </sheetView>
  </sheetViews>
  <sheetFormatPr defaultRowHeight="12.75" x14ac:dyDescent="0.2"/>
  <cols>
    <col min="1" max="1" width="6.7109375" style="115" bestFit="1" customWidth="1"/>
    <col min="2" max="2" width="8.5703125" style="112" bestFit="1" customWidth="1"/>
    <col min="3" max="3" width="36.42578125" style="113" bestFit="1" customWidth="1"/>
    <col min="4" max="4" width="9.140625" style="114"/>
    <col min="5" max="5" width="6.7109375" style="115" bestFit="1" customWidth="1"/>
    <col min="6" max="6" width="2" style="112" bestFit="1" customWidth="1"/>
    <col min="7" max="7" width="39.5703125" style="113" customWidth="1"/>
    <col min="8" max="16384" width="9.140625" style="114"/>
  </cols>
  <sheetData>
    <row r="1" spans="1:7" ht="15" x14ac:dyDescent="0.25">
      <c r="A1" s="103" t="s">
        <v>384</v>
      </c>
    </row>
    <row r="5" spans="1:7" ht="15" x14ac:dyDescent="0.25">
      <c r="A5" s="193" t="s">
        <v>43</v>
      </c>
      <c r="B5" s="194"/>
      <c r="C5" s="194"/>
      <c r="D5" s="194"/>
      <c r="E5" s="194"/>
      <c r="F5" s="194"/>
      <c r="G5" s="194"/>
    </row>
    <row r="6" spans="1:7" ht="15.75" thickBot="1" x14ac:dyDescent="0.3">
      <c r="A6" s="195" t="s">
        <v>6</v>
      </c>
      <c r="B6" s="196"/>
      <c r="C6" s="196"/>
      <c r="D6" s="196"/>
      <c r="E6" s="196"/>
      <c r="F6" s="196"/>
      <c r="G6" s="196"/>
    </row>
    <row r="7" spans="1:7" x14ac:dyDescent="0.2">
      <c r="A7" s="115" t="s">
        <v>9</v>
      </c>
      <c r="B7" s="115" t="s">
        <v>3</v>
      </c>
      <c r="C7" s="113" t="s">
        <v>22</v>
      </c>
      <c r="E7" s="115" t="s">
        <v>12</v>
      </c>
      <c r="F7" s="115" t="s">
        <v>3</v>
      </c>
      <c r="G7" s="113" t="s">
        <v>31</v>
      </c>
    </row>
    <row r="8" spans="1:7" x14ac:dyDescent="0.2">
      <c r="A8" s="115" t="s">
        <v>10</v>
      </c>
      <c r="B8" s="115" t="s">
        <v>3</v>
      </c>
      <c r="C8" s="113" t="s">
        <v>23</v>
      </c>
      <c r="E8" s="115" t="s">
        <v>4</v>
      </c>
      <c r="F8" s="115" t="s">
        <v>3</v>
      </c>
      <c r="G8" s="113" t="s">
        <v>32</v>
      </c>
    </row>
    <row r="9" spans="1:7" ht="15" customHeight="1" x14ac:dyDescent="0.2">
      <c r="A9" s="115" t="s">
        <v>11</v>
      </c>
      <c r="B9" s="115" t="s">
        <v>3</v>
      </c>
      <c r="C9" s="113" t="s">
        <v>24</v>
      </c>
      <c r="E9" s="115" t="s">
        <v>13</v>
      </c>
      <c r="F9" s="115" t="s">
        <v>3</v>
      </c>
      <c r="G9" s="113" t="s">
        <v>33</v>
      </c>
    </row>
    <row r="10" spans="1:7" ht="15" customHeight="1" x14ac:dyDescent="0.2">
      <c r="A10" s="115" t="s">
        <v>0</v>
      </c>
      <c r="B10" s="115" t="s">
        <v>3</v>
      </c>
      <c r="C10" s="113" t="s">
        <v>25</v>
      </c>
      <c r="E10" s="115" t="s">
        <v>14</v>
      </c>
      <c r="F10" s="115" t="s">
        <v>3</v>
      </c>
      <c r="G10" s="113" t="s">
        <v>34</v>
      </c>
    </row>
    <row r="11" spans="1:7" ht="15" customHeight="1" x14ac:dyDescent="0.2">
      <c r="A11" s="115" t="s">
        <v>2</v>
      </c>
      <c r="B11" s="115" t="s">
        <v>3</v>
      </c>
      <c r="C11" s="113" t="s">
        <v>26</v>
      </c>
      <c r="E11" s="115" t="s">
        <v>15</v>
      </c>
      <c r="F11" s="115" t="s">
        <v>3</v>
      </c>
      <c r="G11" s="113" t="s">
        <v>35</v>
      </c>
    </row>
    <row r="12" spans="1:7" x14ac:dyDescent="0.2">
      <c r="A12" s="115" t="s">
        <v>18</v>
      </c>
      <c r="B12" s="115" t="s">
        <v>3</v>
      </c>
      <c r="C12" s="113" t="s">
        <v>27</v>
      </c>
      <c r="E12" s="115" t="s">
        <v>5</v>
      </c>
      <c r="F12" s="115" t="s">
        <v>3</v>
      </c>
      <c r="G12" s="113" t="s">
        <v>36</v>
      </c>
    </row>
    <row r="13" spans="1:7" ht="13.5" customHeight="1" x14ac:dyDescent="0.2">
      <c r="A13" s="115" t="s">
        <v>19</v>
      </c>
      <c r="B13" s="115" t="s">
        <v>3</v>
      </c>
      <c r="C13" s="113" t="s">
        <v>28</v>
      </c>
      <c r="E13" s="115" t="s">
        <v>194</v>
      </c>
      <c r="F13" s="112" t="s">
        <v>3</v>
      </c>
      <c r="G13" s="113" t="s">
        <v>195</v>
      </c>
    </row>
    <row r="14" spans="1:7" ht="14.25" x14ac:dyDescent="0.2">
      <c r="A14" s="115" t="s">
        <v>20</v>
      </c>
      <c r="B14" s="115" t="s">
        <v>3</v>
      </c>
      <c r="C14" s="113" t="s">
        <v>29</v>
      </c>
      <c r="E14" s="115" t="s">
        <v>16</v>
      </c>
      <c r="F14" s="115" t="s">
        <v>3</v>
      </c>
      <c r="G14" s="113" t="s">
        <v>37</v>
      </c>
    </row>
    <row r="15" spans="1:7" ht="14.25" x14ac:dyDescent="0.2">
      <c r="A15" s="115" t="s">
        <v>21</v>
      </c>
      <c r="B15" s="115" t="s">
        <v>3</v>
      </c>
      <c r="C15" s="113" t="s">
        <v>30</v>
      </c>
      <c r="E15" s="115" t="s">
        <v>17</v>
      </c>
      <c r="F15" s="115" t="s">
        <v>3</v>
      </c>
      <c r="G15" s="113" t="s">
        <v>38</v>
      </c>
    </row>
    <row r="16" spans="1:7" ht="14.25" x14ac:dyDescent="0.2">
      <c r="A16" s="115" t="s">
        <v>192</v>
      </c>
      <c r="B16" s="115" t="s">
        <v>3</v>
      </c>
      <c r="C16" s="113" t="s">
        <v>193</v>
      </c>
      <c r="E16" s="115" t="s">
        <v>197</v>
      </c>
      <c r="F16" s="112" t="s">
        <v>3</v>
      </c>
      <c r="G16" s="113" t="s">
        <v>196</v>
      </c>
    </row>
    <row r="17" spans="1:7" x14ac:dyDescent="0.2">
      <c r="B17" s="115"/>
      <c r="E17" s="115" t="s">
        <v>1</v>
      </c>
      <c r="F17" s="115" t="s">
        <v>3</v>
      </c>
      <c r="G17" s="113" t="s">
        <v>39</v>
      </c>
    </row>
    <row r="18" spans="1:7" x14ac:dyDescent="0.2">
      <c r="B18" s="115"/>
      <c r="F18" s="115"/>
    </row>
    <row r="19" spans="1:7" ht="15" x14ac:dyDescent="0.25">
      <c r="A19" s="116" t="s">
        <v>40</v>
      </c>
      <c r="B19" s="117"/>
      <c r="C19" s="117"/>
      <c r="F19" s="115"/>
    </row>
    <row r="20" spans="1:7" ht="15" x14ac:dyDescent="0.25">
      <c r="A20" s="2"/>
      <c r="B20" s="118" t="s">
        <v>3</v>
      </c>
      <c r="C20" s="119" t="s">
        <v>41</v>
      </c>
      <c r="F20" s="115"/>
    </row>
    <row r="21" spans="1:7" ht="15" x14ac:dyDescent="0.25">
      <c r="A21" s="20"/>
      <c r="B21" s="118" t="s">
        <v>3</v>
      </c>
      <c r="C21" s="119" t="s">
        <v>42</v>
      </c>
      <c r="F21" s="115"/>
    </row>
    <row r="22" spans="1:7" ht="15" x14ac:dyDescent="0.25">
      <c r="A22" s="50"/>
      <c r="B22" s="118" t="s">
        <v>3</v>
      </c>
      <c r="C22" s="119" t="s">
        <v>383</v>
      </c>
      <c r="F22" s="115"/>
    </row>
    <row r="23" spans="1:7" x14ac:dyDescent="0.2">
      <c r="B23" s="115"/>
      <c r="F23" s="115"/>
    </row>
    <row r="33" spans="2:10" x14ac:dyDescent="0.2">
      <c r="B33" s="120"/>
    </row>
    <row r="34" spans="2:10" x14ac:dyDescent="0.2">
      <c r="J34" s="121"/>
    </row>
    <row r="35" spans="2:10" x14ac:dyDescent="0.2">
      <c r="J35" s="122"/>
    </row>
  </sheetData>
  <sheetProtection password="E156" sheet="1" objects="1" scenarios="1"/>
  <customSheetViews>
    <customSheetView guid="{4F8C502A-1B49-4129-81FD-D7C5FEE19727}">
      <selection activeCell="C12" sqref="C12"/>
      <pageMargins left="0.75" right="0.75" top="1" bottom="1" header="0.5" footer="0.5"/>
      <pageSetup orientation="portrait" r:id="rId1"/>
      <headerFooter alignWithMargins="0"/>
    </customSheetView>
  </customSheetViews>
  <mergeCells count="2">
    <mergeCell ref="A5:G5"/>
    <mergeCell ref="A6:G6"/>
  </mergeCells>
  <phoneticPr fontId="3" type="noConversion"/>
  <pageMargins left="0.75" right="0.75" top="1" bottom="1" header="0.5" footer="0.5"/>
  <pageSetup paperSize="17" fitToWidth="0"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61"/>
  <sheetViews>
    <sheetView zoomScale="80" zoomScaleNormal="80" workbookViewId="0">
      <selection activeCell="Q28" sqref="Q28"/>
    </sheetView>
  </sheetViews>
  <sheetFormatPr defaultRowHeight="15" x14ac:dyDescent="0.25"/>
  <cols>
    <col min="1" max="1" width="13.42578125" style="125" customWidth="1"/>
    <col min="2" max="2" width="14" style="124" bestFit="1" customWidth="1"/>
    <col min="3" max="3" width="9.140625" style="124"/>
    <col min="4" max="4" width="9.5703125" style="125" customWidth="1"/>
    <col min="5" max="6" width="9.140625" style="125"/>
    <col min="7" max="7" width="11.140625" style="125" customWidth="1"/>
    <col min="8" max="8" width="9.140625" style="125"/>
    <col min="9" max="9" width="13.42578125" style="125" customWidth="1"/>
    <col min="10" max="10" width="14" style="124" customWidth="1"/>
    <col min="11" max="11" width="10.140625" style="124" bestFit="1" customWidth="1"/>
    <col min="12" max="12" width="9.5703125" style="125" customWidth="1"/>
    <col min="13" max="14" width="9.140625" style="125"/>
    <col min="15" max="15" width="11" style="125" customWidth="1"/>
    <col min="16" max="16384" width="9.140625" style="125"/>
  </cols>
  <sheetData>
    <row r="1" spans="1:15" x14ac:dyDescent="0.25">
      <c r="A1" s="123" t="s">
        <v>384</v>
      </c>
    </row>
    <row r="5" spans="1:15" x14ac:dyDescent="0.25">
      <c r="A5" s="1" t="s">
        <v>44</v>
      </c>
      <c r="B5" s="40"/>
      <c r="C5" s="40"/>
      <c r="D5" s="2"/>
      <c r="E5" s="2"/>
      <c r="F5" s="2"/>
      <c r="G5" s="2"/>
      <c r="I5" s="128" t="s">
        <v>142</v>
      </c>
      <c r="J5" s="10"/>
      <c r="K5" s="10"/>
      <c r="L5" s="9"/>
      <c r="M5" s="9"/>
      <c r="N5" s="9"/>
      <c r="O5" s="9"/>
    </row>
    <row r="6" spans="1:15" x14ac:dyDescent="0.25">
      <c r="A6" s="2"/>
      <c r="B6" s="40"/>
      <c r="C6" s="40"/>
      <c r="D6" s="2"/>
      <c r="E6" s="2"/>
      <c r="F6" s="2"/>
      <c r="G6" s="2"/>
      <c r="I6" s="9"/>
      <c r="J6" s="10"/>
      <c r="K6" s="10"/>
      <c r="L6" s="9"/>
      <c r="M6" s="9"/>
      <c r="N6" s="9"/>
      <c r="O6" s="9"/>
    </row>
    <row r="7" spans="1:15" ht="30" customHeight="1" x14ac:dyDescent="0.25">
      <c r="A7" s="207" t="s">
        <v>131</v>
      </c>
      <c r="B7" s="207"/>
      <c r="C7" s="207"/>
      <c r="D7" s="207"/>
      <c r="E7" s="207"/>
      <c r="F7" s="207"/>
      <c r="G7" s="207"/>
      <c r="I7" s="209" t="s">
        <v>181</v>
      </c>
      <c r="J7" s="209"/>
      <c r="K7" s="209"/>
      <c r="L7" s="209"/>
      <c r="M7" s="209"/>
      <c r="N7" s="209"/>
      <c r="O7" s="209"/>
    </row>
    <row r="8" spans="1:15" ht="30" customHeight="1" x14ac:dyDescent="0.25">
      <c r="A8" s="39"/>
      <c r="B8" s="207" t="s">
        <v>132</v>
      </c>
      <c r="C8" s="207"/>
      <c r="D8" s="207"/>
      <c r="E8" s="39" t="s">
        <v>133</v>
      </c>
      <c r="F8" s="39"/>
      <c r="G8" s="39"/>
      <c r="I8" s="129"/>
      <c r="J8" s="212" t="s">
        <v>132</v>
      </c>
      <c r="K8" s="213"/>
      <c r="L8" s="213"/>
      <c r="M8" s="129" t="s">
        <v>180</v>
      </c>
      <c r="N8" s="129"/>
      <c r="O8" s="129"/>
    </row>
    <row r="9" spans="1:15" x14ac:dyDescent="0.25">
      <c r="A9" s="2" t="s">
        <v>113</v>
      </c>
      <c r="B9" s="2"/>
      <c r="C9" s="2">
        <v>1200</v>
      </c>
      <c r="D9" s="40" t="s">
        <v>103</v>
      </c>
      <c r="E9" s="2"/>
      <c r="F9" s="2"/>
      <c r="G9" s="2"/>
      <c r="I9" s="9" t="s">
        <v>113</v>
      </c>
      <c r="J9" s="9"/>
      <c r="K9" s="42">
        <v>1200</v>
      </c>
      <c r="L9" s="129" t="s">
        <v>103</v>
      </c>
      <c r="M9" s="9"/>
      <c r="N9" s="9"/>
      <c r="O9" s="9"/>
    </row>
    <row r="10" spans="1:15" x14ac:dyDescent="0.25">
      <c r="A10" s="2" t="s">
        <v>114</v>
      </c>
      <c r="B10" s="2"/>
      <c r="C10" s="2">
        <v>77</v>
      </c>
      <c r="D10" s="40" t="s">
        <v>7</v>
      </c>
      <c r="E10" s="2"/>
      <c r="F10" s="2"/>
      <c r="G10" s="2"/>
      <c r="I10" s="9" t="s">
        <v>114</v>
      </c>
      <c r="J10" s="9"/>
      <c r="K10" s="42">
        <v>77</v>
      </c>
      <c r="L10" s="129" t="s">
        <v>7</v>
      </c>
      <c r="M10" s="9" t="s">
        <v>346</v>
      </c>
      <c r="N10" s="9"/>
      <c r="O10" s="9"/>
    </row>
    <row r="11" spans="1:15" x14ac:dyDescent="0.25">
      <c r="A11" s="2" t="s">
        <v>115</v>
      </c>
      <c r="B11" s="2"/>
      <c r="C11" s="208" t="s">
        <v>104</v>
      </c>
      <c r="D11" s="208"/>
      <c r="E11" s="2" t="s">
        <v>350</v>
      </c>
      <c r="F11" s="2"/>
      <c r="G11" s="2"/>
      <c r="I11" s="9" t="s">
        <v>351</v>
      </c>
      <c r="J11" s="9"/>
      <c r="K11" s="210">
        <v>0</v>
      </c>
      <c r="L11" s="210"/>
      <c r="M11" s="9" t="s">
        <v>350</v>
      </c>
      <c r="N11" s="9"/>
      <c r="O11" s="9"/>
    </row>
    <row r="12" spans="1:15" x14ac:dyDescent="0.25">
      <c r="A12" s="2" t="s">
        <v>116</v>
      </c>
      <c r="B12" s="2"/>
      <c r="C12" s="208" t="s">
        <v>105</v>
      </c>
      <c r="D12" s="208"/>
      <c r="E12" s="2"/>
      <c r="F12" s="2"/>
      <c r="G12" s="2"/>
      <c r="I12" s="9" t="s">
        <v>116</v>
      </c>
      <c r="J12" s="9"/>
      <c r="K12" s="211" t="s">
        <v>105</v>
      </c>
      <c r="L12" s="211"/>
      <c r="M12" s="9"/>
      <c r="N12" s="9"/>
      <c r="O12" s="9"/>
    </row>
    <row r="13" spans="1:15" x14ac:dyDescent="0.25">
      <c r="A13" s="2"/>
      <c r="B13" s="40"/>
      <c r="C13" s="40"/>
      <c r="D13" s="2"/>
      <c r="E13" s="2"/>
      <c r="F13" s="2"/>
      <c r="G13" s="2"/>
      <c r="I13" s="9"/>
      <c r="J13" s="10"/>
      <c r="K13" s="10"/>
      <c r="L13" s="9"/>
      <c r="M13" s="9"/>
      <c r="N13" s="9"/>
      <c r="O13" s="9"/>
    </row>
    <row r="14" spans="1:15" x14ac:dyDescent="0.25">
      <c r="A14" s="2" t="s">
        <v>378</v>
      </c>
      <c r="B14" s="40"/>
      <c r="C14" s="4"/>
      <c r="D14" s="2"/>
      <c r="E14" s="2"/>
      <c r="F14" s="2"/>
      <c r="G14" s="2"/>
      <c r="I14" s="9" t="s">
        <v>378</v>
      </c>
      <c r="J14" s="10"/>
      <c r="K14" s="130"/>
      <c r="L14" s="9"/>
      <c r="M14" s="9"/>
      <c r="N14" s="9"/>
      <c r="O14" s="9"/>
    </row>
    <row r="15" spans="1:15" x14ac:dyDescent="0.25">
      <c r="A15" s="2" t="s">
        <v>106</v>
      </c>
      <c r="B15" s="40" t="s">
        <v>3</v>
      </c>
      <c r="C15" s="40">
        <v>1480</v>
      </c>
      <c r="D15" s="2" t="s">
        <v>107</v>
      </c>
      <c r="E15" s="2"/>
      <c r="F15" s="2"/>
      <c r="G15" s="2" t="s">
        <v>135</v>
      </c>
      <c r="I15" s="9" t="s">
        <v>106</v>
      </c>
      <c r="J15" s="10" t="s">
        <v>3</v>
      </c>
      <c r="K15" s="10">
        <f>VLOOKUP(TRIM($J$8),Figure15_3,4,FALSE)</f>
        <v>1480</v>
      </c>
      <c r="L15" s="9" t="s">
        <v>107</v>
      </c>
      <c r="M15" s="9"/>
      <c r="N15" s="9"/>
      <c r="O15" s="9" t="s">
        <v>135</v>
      </c>
    </row>
    <row r="16" spans="1:15" x14ac:dyDescent="0.25">
      <c r="A16" s="2" t="s">
        <v>352</v>
      </c>
      <c r="B16" s="40" t="s">
        <v>3</v>
      </c>
      <c r="C16" s="40">
        <v>1480</v>
      </c>
      <c r="D16" s="2" t="s">
        <v>107</v>
      </c>
      <c r="E16" s="2"/>
      <c r="F16" s="2"/>
      <c r="G16" s="2" t="s">
        <v>359</v>
      </c>
      <c r="I16" s="9" t="s">
        <v>352</v>
      </c>
      <c r="J16" s="10" t="s">
        <v>3</v>
      </c>
      <c r="K16" s="10">
        <f>K15*(1-((K11/1000)*0.035-(77-K10)/10*0.01))</f>
        <v>1480</v>
      </c>
      <c r="L16" s="9" t="s">
        <v>107</v>
      </c>
      <c r="M16" s="9"/>
      <c r="N16" s="9"/>
      <c r="O16" s="9" t="s">
        <v>359</v>
      </c>
    </row>
    <row r="17" spans="1:15" x14ac:dyDescent="0.25">
      <c r="A17" s="2" t="s">
        <v>108</v>
      </c>
      <c r="B17" s="40" t="s">
        <v>3</v>
      </c>
      <c r="C17" s="40">
        <v>7284</v>
      </c>
      <c r="D17" s="2" t="s">
        <v>109</v>
      </c>
      <c r="E17" s="2"/>
      <c r="F17" s="2"/>
      <c r="G17" s="2" t="s">
        <v>136</v>
      </c>
      <c r="I17" s="9" t="s">
        <v>108</v>
      </c>
      <c r="J17" s="10" t="s">
        <v>3</v>
      </c>
      <c r="K17" s="10">
        <f>VLOOKUP(TRIM($J$8),Figure15_3,8,FALSE)</f>
        <v>7284</v>
      </c>
      <c r="L17" s="9" t="s">
        <v>109</v>
      </c>
      <c r="M17" s="9"/>
      <c r="N17" s="9"/>
      <c r="O17" s="9" t="s">
        <v>136</v>
      </c>
    </row>
    <row r="18" spans="1:15" x14ac:dyDescent="0.25">
      <c r="A18" s="2" t="s">
        <v>121</v>
      </c>
      <c r="B18" s="40"/>
      <c r="C18" s="40"/>
      <c r="D18" s="2"/>
      <c r="E18" s="2"/>
      <c r="F18" s="2"/>
      <c r="G18" s="2"/>
      <c r="I18" s="9" t="s">
        <v>121</v>
      </c>
      <c r="J18" s="10"/>
      <c r="K18" s="9"/>
      <c r="L18" s="10"/>
      <c r="M18" s="9"/>
      <c r="N18" s="9"/>
      <c r="O18" s="9"/>
    </row>
    <row r="19" spans="1:15" x14ac:dyDescent="0.25">
      <c r="A19" s="2"/>
      <c r="B19" s="38" t="s">
        <v>117</v>
      </c>
      <c r="C19" s="40">
        <v>1953</v>
      </c>
      <c r="D19" s="2" t="s">
        <v>110</v>
      </c>
      <c r="E19" s="2"/>
      <c r="F19" s="2"/>
      <c r="G19" s="2" t="s">
        <v>137</v>
      </c>
      <c r="I19" s="9"/>
      <c r="J19" s="10" t="s">
        <v>117</v>
      </c>
      <c r="K19" s="10">
        <f>VLOOKUP(TRIM($J$8),Figure15_3,9,FALSE)</f>
        <v>1953</v>
      </c>
      <c r="L19" s="9" t="s">
        <v>110</v>
      </c>
      <c r="M19" s="9"/>
      <c r="N19" s="9"/>
      <c r="O19" s="9" t="s">
        <v>137</v>
      </c>
    </row>
    <row r="20" spans="1:15" x14ac:dyDescent="0.25">
      <c r="A20" s="2"/>
      <c r="B20" s="40" t="s">
        <v>118</v>
      </c>
      <c r="C20" s="40">
        <v>298</v>
      </c>
      <c r="D20" s="2" t="s">
        <v>110</v>
      </c>
      <c r="E20" s="2"/>
      <c r="F20" s="2"/>
      <c r="G20" s="2" t="s">
        <v>138</v>
      </c>
      <c r="I20" s="9"/>
      <c r="J20" s="10" t="s">
        <v>118</v>
      </c>
      <c r="K20" s="10">
        <f>VLOOKUP(TRIM($J$8),Figure15_3,10,FALSE)</f>
        <v>298</v>
      </c>
      <c r="L20" s="9" t="s">
        <v>110</v>
      </c>
      <c r="M20" s="9"/>
      <c r="N20" s="9"/>
      <c r="O20" s="9" t="s">
        <v>138</v>
      </c>
    </row>
    <row r="21" spans="1:15" x14ac:dyDescent="0.25">
      <c r="A21" s="205" t="s">
        <v>119</v>
      </c>
      <c r="B21" s="206"/>
      <c r="C21" s="40">
        <v>427</v>
      </c>
      <c r="D21" s="2" t="s">
        <v>110</v>
      </c>
      <c r="E21" s="2"/>
      <c r="F21" s="2"/>
      <c r="G21" s="2" t="s">
        <v>139</v>
      </c>
      <c r="I21" s="197" t="s">
        <v>119</v>
      </c>
      <c r="J21" s="198"/>
      <c r="K21" s="10">
        <f>VLOOKUP(TRIM($J$8),Figure15_3,11,FALSE)</f>
        <v>427</v>
      </c>
      <c r="L21" s="9" t="s">
        <v>110</v>
      </c>
      <c r="M21" s="9"/>
      <c r="N21" s="9"/>
      <c r="O21" s="9" t="s">
        <v>139</v>
      </c>
    </row>
    <row r="22" spans="1:15" x14ac:dyDescent="0.25">
      <c r="A22" s="199" t="s">
        <v>344</v>
      </c>
      <c r="B22" s="200"/>
      <c r="C22" s="40">
        <v>0</v>
      </c>
      <c r="D22" s="2" t="s">
        <v>110</v>
      </c>
      <c r="E22" s="2"/>
      <c r="F22" s="2"/>
      <c r="G22" s="2" t="s">
        <v>139</v>
      </c>
      <c r="I22" s="197" t="s">
        <v>344</v>
      </c>
      <c r="J22" s="198"/>
      <c r="K22" s="10">
        <f>VLOOKUP(TRIM($J$8),Figure15_3,12,FALSE)</f>
        <v>0</v>
      </c>
      <c r="L22" s="9" t="s">
        <v>110</v>
      </c>
      <c r="M22" s="9"/>
      <c r="N22" s="9"/>
      <c r="O22" s="9" t="s">
        <v>139</v>
      </c>
    </row>
    <row r="23" spans="1:15" x14ac:dyDescent="0.25">
      <c r="A23" s="2"/>
      <c r="B23" s="40" t="s">
        <v>120</v>
      </c>
      <c r="C23" s="40">
        <v>189</v>
      </c>
      <c r="D23" s="2" t="s">
        <v>110</v>
      </c>
      <c r="E23" s="2"/>
      <c r="F23" s="2"/>
      <c r="G23" s="2" t="s">
        <v>140</v>
      </c>
      <c r="I23" s="9"/>
      <c r="J23" s="10" t="s">
        <v>120</v>
      </c>
      <c r="K23" s="34">
        <f>VLOOKUP(TRIM($J$8),Figure15_3,13,FALSE)</f>
        <v>189</v>
      </c>
      <c r="L23" s="9" t="s">
        <v>110</v>
      </c>
      <c r="M23" s="9"/>
      <c r="N23" s="9"/>
      <c r="O23" s="9" t="s">
        <v>140</v>
      </c>
    </row>
    <row r="24" spans="1:15" x14ac:dyDescent="0.25">
      <c r="A24" s="2"/>
      <c r="B24" s="40" t="s">
        <v>3</v>
      </c>
      <c r="C24" s="40">
        <f>C19+C20+C21+C23</f>
        <v>2867</v>
      </c>
      <c r="D24" s="2" t="s">
        <v>110</v>
      </c>
      <c r="E24" s="2"/>
      <c r="F24" s="2"/>
      <c r="G24" s="2"/>
      <c r="I24" s="9"/>
      <c r="J24" s="10" t="s">
        <v>3</v>
      </c>
      <c r="K24" s="10">
        <f>SUM(K19:K23)</f>
        <v>2867</v>
      </c>
      <c r="L24" s="11" t="s">
        <v>110</v>
      </c>
      <c r="M24" s="9"/>
      <c r="N24" s="9"/>
      <c r="O24" s="9"/>
    </row>
    <row r="25" spans="1:15" x14ac:dyDescent="0.25">
      <c r="A25" s="2"/>
      <c r="B25" s="40"/>
      <c r="C25" s="5"/>
      <c r="D25" s="2"/>
      <c r="E25" s="2"/>
      <c r="F25" s="2"/>
      <c r="G25" s="2"/>
      <c r="I25" s="9"/>
      <c r="J25" s="10"/>
      <c r="K25" s="11"/>
      <c r="L25" s="9"/>
      <c r="M25" s="9"/>
      <c r="N25" s="9"/>
      <c r="O25" s="9"/>
    </row>
    <row r="26" spans="1:15" x14ac:dyDescent="0.25">
      <c r="A26" s="2" t="s">
        <v>111</v>
      </c>
      <c r="B26" s="40"/>
      <c r="C26" s="40"/>
      <c r="D26" s="2"/>
      <c r="E26" s="2"/>
      <c r="F26" s="2"/>
      <c r="G26" s="2"/>
      <c r="I26" s="9" t="s">
        <v>111</v>
      </c>
      <c r="J26" s="10"/>
      <c r="K26" s="10"/>
      <c r="L26" s="9"/>
      <c r="M26" s="9"/>
      <c r="N26" s="9"/>
      <c r="O26" s="9"/>
    </row>
    <row r="27" spans="1:15" x14ac:dyDescent="0.25">
      <c r="A27" s="2" t="str">
        <f>CONCATENATE("Thermal efficiency = 100 x (2544/",C17,")")</f>
        <v>Thermal efficiency = 100 x (2544/7284)</v>
      </c>
      <c r="B27" s="40"/>
      <c r="C27" s="40"/>
      <c r="D27" s="2"/>
      <c r="E27" s="2"/>
      <c r="F27" s="2"/>
      <c r="G27" s="2"/>
      <c r="I27" s="9" t="str">
        <f>CONCATENATE("Thermal efficiency = 100 x (2544/",K17,")")</f>
        <v>Thermal efficiency = 100 x (2544/7284)</v>
      </c>
      <c r="J27" s="10"/>
      <c r="K27" s="10"/>
      <c r="L27" s="9"/>
      <c r="M27" s="9"/>
      <c r="N27" s="9"/>
      <c r="O27" s="9"/>
    </row>
    <row r="28" spans="1:15" x14ac:dyDescent="0.25">
      <c r="A28" s="38" t="s">
        <v>3</v>
      </c>
      <c r="B28" s="6">
        <f>(2544/C17)</f>
        <v>0.34925864909390447</v>
      </c>
      <c r="C28" s="40"/>
      <c r="D28" s="2"/>
      <c r="E28" s="2"/>
      <c r="F28" s="2"/>
      <c r="G28" s="2"/>
      <c r="I28" s="12" t="s">
        <v>3</v>
      </c>
      <c r="J28" s="43">
        <f>(2544/K17)</f>
        <v>0.34925864909390447</v>
      </c>
      <c r="K28" s="10"/>
      <c r="L28" s="9"/>
      <c r="M28" s="9"/>
      <c r="N28" s="9"/>
      <c r="O28" s="9"/>
    </row>
    <row r="29" spans="1:15" x14ac:dyDescent="0.25">
      <c r="A29" s="2" t="str">
        <f>CONCATENATE("Heat rejected per bhp = ",C17," - 2544")</f>
        <v>Heat rejected per bhp = 7284 - 2544</v>
      </c>
      <c r="B29" s="40"/>
      <c r="C29" s="5"/>
      <c r="D29" s="2"/>
      <c r="E29" s="2"/>
      <c r="F29" s="2"/>
      <c r="G29" s="2"/>
      <c r="I29" s="9" t="str">
        <f>CONCATENATE("Heat rejected per bhp = ",K17," - 2544")</f>
        <v>Heat rejected per bhp = 7284 - 2544</v>
      </c>
      <c r="J29" s="10"/>
      <c r="K29" s="11"/>
      <c r="L29" s="9"/>
      <c r="M29" s="9"/>
      <c r="N29" s="9"/>
      <c r="O29" s="9"/>
    </row>
    <row r="30" spans="1:15" x14ac:dyDescent="0.25">
      <c r="A30" s="38" t="s">
        <v>3</v>
      </c>
      <c r="B30" s="38">
        <f>C17-2544</f>
        <v>4740</v>
      </c>
      <c r="C30" s="5" t="s">
        <v>110</v>
      </c>
      <c r="D30" s="2"/>
      <c r="E30" s="2"/>
      <c r="F30" s="2"/>
      <c r="G30" s="2"/>
      <c r="I30" s="12" t="s">
        <v>3</v>
      </c>
      <c r="J30" s="44">
        <f>K17-2544</f>
        <v>4740</v>
      </c>
      <c r="K30" s="132" t="s">
        <v>110</v>
      </c>
      <c r="L30" s="133"/>
      <c r="M30" s="9"/>
      <c r="N30" s="9"/>
      <c r="O30" s="9"/>
    </row>
    <row r="31" spans="1:15" x14ac:dyDescent="0.25">
      <c r="A31" s="2" t="str">
        <f>CONCATENATE("Total heat rejected = ",B30," [Btu/(bhp • hr)] ",C16," bhp")</f>
        <v>Total heat rejected = 4740 [Btu/(bhp • hr)] 1480 bhp</v>
      </c>
      <c r="B31" s="40"/>
      <c r="C31" s="40"/>
      <c r="D31" s="2"/>
      <c r="E31" s="2"/>
      <c r="F31" s="2"/>
      <c r="G31" s="2"/>
      <c r="I31" s="9" t="str">
        <f>CONCATENATE("Total heat rejected = ",J30," [Btu/(bhp • hr)] ",K16," bhp")</f>
        <v>Total heat rejected = 4740 [Btu/(bhp • hr)] 1480 bhp</v>
      </c>
      <c r="J31" s="10"/>
      <c r="K31" s="10"/>
      <c r="L31" s="9"/>
      <c r="M31" s="9"/>
      <c r="N31" s="9"/>
      <c r="O31" s="9"/>
    </row>
    <row r="32" spans="1:15" x14ac:dyDescent="0.25">
      <c r="A32" s="38" t="s">
        <v>3</v>
      </c>
      <c r="B32" s="7">
        <f>(B30*C16/1000000)</f>
        <v>7.0152000000000001</v>
      </c>
      <c r="C32" s="5" t="s">
        <v>112</v>
      </c>
      <c r="D32" s="2"/>
      <c r="E32" s="2"/>
      <c r="F32" s="2"/>
      <c r="G32" s="2"/>
      <c r="I32" s="12" t="s">
        <v>3</v>
      </c>
      <c r="J32" s="45">
        <f>(J30*K16/1000000)</f>
        <v>7.0152000000000001</v>
      </c>
      <c r="K32" s="134" t="s">
        <v>112</v>
      </c>
      <c r="L32" s="9"/>
      <c r="M32" s="9"/>
      <c r="N32" s="9"/>
      <c r="O32" s="9"/>
    </row>
    <row r="33" spans="1:15" x14ac:dyDescent="0.25">
      <c r="A33" s="2" t="str">
        <f>CONCATENATE("Exhaust heat per bhp = ",B30," - ",C24)</f>
        <v>Exhaust heat per bhp = 4740 - 2867</v>
      </c>
      <c r="B33" s="40"/>
      <c r="C33" s="5"/>
      <c r="D33" s="2"/>
      <c r="E33" s="2"/>
      <c r="F33" s="2"/>
      <c r="G33" s="2"/>
      <c r="I33" s="9" t="str">
        <f>CONCATENATE("Exhaust heat per bhp = ",J30," - ",K24)</f>
        <v>Exhaust heat per bhp = 4740 - 2867</v>
      </c>
      <c r="J33" s="10"/>
      <c r="K33" s="11"/>
      <c r="L33" s="9"/>
      <c r="M33" s="9"/>
      <c r="N33" s="9"/>
      <c r="O33" s="9"/>
    </row>
    <row r="34" spans="1:15" x14ac:dyDescent="0.25">
      <c r="A34" s="38" t="s">
        <v>3</v>
      </c>
      <c r="B34" s="38">
        <f>B30-C24</f>
        <v>1873</v>
      </c>
      <c r="C34" s="5" t="s">
        <v>110</v>
      </c>
      <c r="D34" s="2"/>
      <c r="E34" s="2"/>
      <c r="F34" s="2"/>
      <c r="G34" s="2"/>
      <c r="I34" s="12" t="s">
        <v>3</v>
      </c>
      <c r="J34" s="12">
        <f>J30-K24</f>
        <v>1873</v>
      </c>
      <c r="K34" s="11" t="s">
        <v>110</v>
      </c>
      <c r="L34" s="9"/>
      <c r="M34" s="9"/>
      <c r="N34" s="9"/>
      <c r="O34" s="9"/>
    </row>
    <row r="35" spans="1:15" x14ac:dyDescent="0.25">
      <c r="A35" s="2" t="str">
        <f>CONCATENATE("Total exhaust heat = ",B34," [Btu/(bhp • hr)] ",C16," bhp")</f>
        <v>Total exhaust heat = 1873 [Btu/(bhp • hr)] 1480 bhp</v>
      </c>
      <c r="B35" s="40"/>
      <c r="C35" s="40"/>
      <c r="D35" s="2"/>
      <c r="E35" s="2"/>
      <c r="F35" s="2"/>
      <c r="G35" s="2"/>
      <c r="I35" s="9" t="str">
        <f>CONCATENATE("Total exhaust heat = ",J34," [Btu/(bhp • hr)] ",K16," bhp")</f>
        <v>Total exhaust heat = 1873 [Btu/(bhp • hr)] 1480 bhp</v>
      </c>
      <c r="J35" s="10"/>
      <c r="K35" s="10"/>
      <c r="L35" s="9"/>
      <c r="M35" s="9"/>
      <c r="N35" s="9"/>
      <c r="O35" s="9"/>
    </row>
    <row r="36" spans="1:15" x14ac:dyDescent="0.25">
      <c r="A36" s="38" t="s">
        <v>3</v>
      </c>
      <c r="B36" s="8">
        <f>+B34*C16/1000000</f>
        <v>2.7720400000000001</v>
      </c>
      <c r="C36" s="5" t="s">
        <v>112</v>
      </c>
      <c r="D36" s="2"/>
      <c r="E36" s="2"/>
      <c r="F36" s="2"/>
      <c r="G36" s="2"/>
      <c r="I36" s="12" t="s">
        <v>3</v>
      </c>
      <c r="J36" s="46">
        <f>+J34*K16/1000000</f>
        <v>2.7720400000000001</v>
      </c>
      <c r="K36" s="132" t="s">
        <v>112</v>
      </c>
      <c r="L36" s="133"/>
      <c r="M36" s="9"/>
      <c r="N36" s="9"/>
      <c r="O36" s="9"/>
    </row>
    <row r="37" spans="1:15" ht="74.25" customHeight="1" x14ac:dyDescent="0.25">
      <c r="A37" s="203" t="s">
        <v>345</v>
      </c>
      <c r="B37" s="204"/>
      <c r="C37" s="204"/>
      <c r="D37" s="204"/>
      <c r="E37" s="204"/>
      <c r="F37" s="204"/>
      <c r="G37" s="204"/>
      <c r="I37" s="201" t="s">
        <v>345</v>
      </c>
      <c r="J37" s="202"/>
      <c r="K37" s="202"/>
      <c r="L37" s="202"/>
      <c r="M37" s="202"/>
      <c r="N37" s="202"/>
      <c r="O37" s="202"/>
    </row>
    <row r="40" spans="1:15" x14ac:dyDescent="0.25">
      <c r="A40" s="135" t="s">
        <v>191</v>
      </c>
    </row>
    <row r="41" spans="1:15" x14ac:dyDescent="0.25">
      <c r="A41" s="135" t="s">
        <v>389</v>
      </c>
    </row>
    <row r="42" spans="1:15" x14ac:dyDescent="0.25">
      <c r="A42" s="135" t="s">
        <v>390</v>
      </c>
    </row>
    <row r="43" spans="1:15" x14ac:dyDescent="0.25">
      <c r="A43" s="135" t="s">
        <v>391</v>
      </c>
    </row>
    <row r="44" spans="1:15" x14ac:dyDescent="0.25">
      <c r="A44" s="136" t="s">
        <v>392</v>
      </c>
    </row>
    <row r="53" spans="2:10" x14ac:dyDescent="0.25">
      <c r="J53" s="137"/>
    </row>
    <row r="55" spans="2:10" x14ac:dyDescent="0.25">
      <c r="B55" s="138"/>
      <c r="J55" s="138"/>
    </row>
    <row r="61" spans="2:10" x14ac:dyDescent="0.25">
      <c r="J61" s="139"/>
    </row>
  </sheetData>
  <sheetProtection password="E156" sheet="1" objects="1" scenarios="1"/>
  <customSheetViews>
    <customSheetView guid="{4F8C502A-1B49-4129-81FD-D7C5FEE19727}">
      <selection activeCell="K34" sqref="K34"/>
      <pageMargins left="0.75" right="0.75" top="1" bottom="1" header="0.5" footer="0.5"/>
      <pageSetup orientation="portrait" r:id="rId1"/>
      <headerFooter alignWithMargins="0"/>
    </customSheetView>
  </customSheetViews>
  <mergeCells count="14">
    <mergeCell ref="A7:G7"/>
    <mergeCell ref="C11:D11"/>
    <mergeCell ref="C12:D12"/>
    <mergeCell ref="I7:O7"/>
    <mergeCell ref="K11:L11"/>
    <mergeCell ref="K12:L12"/>
    <mergeCell ref="B8:D8"/>
    <mergeCell ref="J8:L8"/>
    <mergeCell ref="I22:J22"/>
    <mergeCell ref="A22:B22"/>
    <mergeCell ref="I37:O37"/>
    <mergeCell ref="A37:G37"/>
    <mergeCell ref="A21:B21"/>
    <mergeCell ref="I21:J21"/>
  </mergeCells>
  <phoneticPr fontId="3" type="noConversion"/>
  <dataValidations count="1">
    <dataValidation type="list" allowBlank="1" showInputMessage="1" showErrorMessage="1" errorTitle="Select from List" promptTitle="Select a Manufactor/Engine Combo" sqref="J8:L8">
      <formula1>Machine</formula1>
    </dataValidation>
  </dataValidations>
  <pageMargins left="0.75" right="0.75" top="1" bottom="1" header="0.5" footer="0.5"/>
  <pageSetup paperSize="17"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62"/>
  <sheetViews>
    <sheetView zoomScale="80" zoomScaleNormal="80" workbookViewId="0">
      <selection activeCell="I3" sqref="I3"/>
    </sheetView>
  </sheetViews>
  <sheetFormatPr defaultRowHeight="15" x14ac:dyDescent="0.25"/>
  <cols>
    <col min="1" max="1" width="22.28515625" style="125" customWidth="1"/>
    <col min="2" max="2" width="10.140625" style="124" bestFit="1" customWidth="1"/>
    <col min="3" max="3" width="10" style="124" customWidth="1"/>
    <col min="4" max="4" width="12.85546875" style="125" customWidth="1"/>
    <col min="5" max="6" width="9.140625" style="125"/>
    <col min="7" max="7" width="11.7109375" style="125" bestFit="1" customWidth="1"/>
    <col min="8" max="8" width="9.140625" style="125"/>
    <col min="9" max="9" width="22.5703125" style="125" customWidth="1"/>
    <col min="10" max="10" width="11.42578125" style="124" bestFit="1" customWidth="1"/>
    <col min="11" max="11" width="10.140625" style="124" customWidth="1"/>
    <col min="12" max="12" width="12.85546875" style="125" customWidth="1"/>
    <col min="13" max="14" width="9.140625" style="125"/>
    <col min="15" max="15" width="21.140625" style="125" customWidth="1"/>
    <col min="16" max="16384" width="9.140625" style="125"/>
  </cols>
  <sheetData>
    <row r="1" spans="1:15" x14ac:dyDescent="0.25">
      <c r="A1" s="123" t="s">
        <v>384</v>
      </c>
    </row>
    <row r="5" spans="1:15" ht="15" customHeight="1" x14ac:dyDescent="0.25">
      <c r="A5" s="218" t="s">
        <v>45</v>
      </c>
      <c r="B5" s="219"/>
      <c r="C5" s="219"/>
      <c r="D5" s="219"/>
      <c r="E5" s="219"/>
      <c r="F5" s="2"/>
      <c r="G5" s="2"/>
      <c r="I5" s="220" t="s">
        <v>141</v>
      </c>
      <c r="J5" s="221"/>
      <c r="K5" s="221"/>
      <c r="L5" s="221"/>
      <c r="M5" s="221"/>
      <c r="N5" s="9"/>
      <c r="O5" s="9"/>
    </row>
    <row r="6" spans="1:15" x14ac:dyDescent="0.25">
      <c r="A6" s="2"/>
      <c r="B6" s="40"/>
      <c r="C6" s="40"/>
      <c r="D6" s="2"/>
      <c r="E6" s="2"/>
      <c r="F6" s="2"/>
      <c r="G6" s="2"/>
      <c r="I6" s="9"/>
      <c r="J6" s="10"/>
      <c r="K6" s="10"/>
      <c r="L6" s="9"/>
      <c r="M6" s="9"/>
      <c r="N6" s="9"/>
      <c r="O6" s="9"/>
    </row>
    <row r="7" spans="1:15" ht="30" customHeight="1" x14ac:dyDescent="0.25">
      <c r="A7" s="207" t="s">
        <v>80</v>
      </c>
      <c r="B7" s="207"/>
      <c r="C7" s="207"/>
      <c r="D7" s="207"/>
      <c r="E7" s="207"/>
      <c r="F7" s="207"/>
      <c r="G7" s="207"/>
      <c r="I7" s="209" t="s">
        <v>80</v>
      </c>
      <c r="J7" s="209"/>
      <c r="K7" s="209"/>
      <c r="L7" s="209"/>
      <c r="M7" s="209"/>
      <c r="N7" s="209"/>
      <c r="O7" s="209"/>
    </row>
    <row r="8" spans="1:15" x14ac:dyDescent="0.25">
      <c r="A8" s="2"/>
      <c r="B8" s="40"/>
      <c r="C8" s="40"/>
      <c r="D8" s="2"/>
      <c r="E8" s="2"/>
      <c r="F8" s="2"/>
      <c r="G8" s="2"/>
      <c r="I8" s="9"/>
      <c r="J8" s="10"/>
      <c r="K8" s="10"/>
      <c r="L8" s="9"/>
      <c r="M8" s="9"/>
      <c r="N8" s="9"/>
      <c r="O8" s="9"/>
    </row>
    <row r="9" spans="1:15" x14ac:dyDescent="0.25">
      <c r="A9" s="2" t="s">
        <v>81</v>
      </c>
      <c r="B9" s="40" t="s">
        <v>3</v>
      </c>
      <c r="C9" s="14">
        <v>27500</v>
      </c>
      <c r="D9" s="2" t="s">
        <v>77</v>
      </c>
      <c r="E9" s="2"/>
      <c r="F9" s="2"/>
      <c r="G9" s="2"/>
      <c r="I9" s="9" t="s">
        <v>81</v>
      </c>
      <c r="J9" s="10" t="s">
        <v>3</v>
      </c>
      <c r="K9" s="47">
        <v>27500</v>
      </c>
      <c r="L9" s="9" t="s">
        <v>77</v>
      </c>
      <c r="M9" s="9"/>
      <c r="N9" s="9"/>
      <c r="O9" s="9"/>
    </row>
    <row r="10" spans="1:15" x14ac:dyDescent="0.25">
      <c r="A10" s="2" t="s">
        <v>82</v>
      </c>
      <c r="B10" s="40" t="s">
        <v>3</v>
      </c>
      <c r="C10" s="14">
        <v>7090</v>
      </c>
      <c r="D10" s="2" t="s">
        <v>83</v>
      </c>
      <c r="E10" s="2"/>
      <c r="F10" s="2"/>
      <c r="G10" s="2"/>
      <c r="I10" s="9" t="s">
        <v>82</v>
      </c>
      <c r="J10" s="10" t="s">
        <v>3</v>
      </c>
      <c r="K10" s="47">
        <v>7090</v>
      </c>
      <c r="L10" s="9" t="s">
        <v>83</v>
      </c>
      <c r="M10" s="9"/>
      <c r="N10" s="9"/>
      <c r="O10" s="9"/>
    </row>
    <row r="11" spans="1:15" x14ac:dyDescent="0.25">
      <c r="A11" s="2" t="s">
        <v>84</v>
      </c>
      <c r="B11" s="40" t="s">
        <v>3</v>
      </c>
      <c r="C11" s="40">
        <v>80</v>
      </c>
      <c r="D11" s="2" t="s">
        <v>7</v>
      </c>
      <c r="E11" s="2"/>
      <c r="F11" s="2"/>
      <c r="G11" s="2"/>
      <c r="I11" s="9" t="s">
        <v>84</v>
      </c>
      <c r="J11" s="10" t="s">
        <v>3</v>
      </c>
      <c r="K11" s="48">
        <v>80</v>
      </c>
      <c r="L11" s="9" t="s">
        <v>7</v>
      </c>
      <c r="M11" s="9"/>
      <c r="N11" s="9"/>
      <c r="O11" s="9"/>
    </row>
    <row r="12" spans="1:15" x14ac:dyDescent="0.25">
      <c r="A12" s="2" t="s">
        <v>85</v>
      </c>
      <c r="B12" s="40" t="s">
        <v>3</v>
      </c>
      <c r="C12" s="40">
        <v>1000</v>
      </c>
      <c r="D12" s="2" t="s">
        <v>86</v>
      </c>
      <c r="E12" s="2"/>
      <c r="F12" s="2"/>
      <c r="G12" s="2"/>
      <c r="I12" s="9" t="s">
        <v>85</v>
      </c>
      <c r="J12" s="10" t="s">
        <v>3</v>
      </c>
      <c r="K12" s="48">
        <v>1000</v>
      </c>
      <c r="L12" s="9" t="s">
        <v>86</v>
      </c>
      <c r="M12" s="9"/>
      <c r="N12" s="9"/>
      <c r="O12" s="9"/>
    </row>
    <row r="13" spans="1:15" ht="16.5" x14ac:dyDescent="0.3">
      <c r="A13" s="2" t="s">
        <v>87</v>
      </c>
      <c r="B13" s="40" t="s">
        <v>3</v>
      </c>
      <c r="C13" s="40">
        <v>4</v>
      </c>
      <c r="D13" s="2" t="s">
        <v>92</v>
      </c>
      <c r="E13" s="2"/>
      <c r="F13" s="2"/>
      <c r="G13" s="2"/>
      <c r="I13" s="9" t="s">
        <v>87</v>
      </c>
      <c r="J13" s="10" t="s">
        <v>3</v>
      </c>
      <c r="K13" s="48">
        <v>4</v>
      </c>
      <c r="L13" s="9" t="s">
        <v>92</v>
      </c>
      <c r="M13" s="9"/>
      <c r="N13" s="9"/>
      <c r="O13" s="9"/>
    </row>
    <row r="14" spans="1:15" ht="16.5" x14ac:dyDescent="0.3">
      <c r="A14" s="2" t="s">
        <v>88</v>
      </c>
      <c r="B14" s="40" t="s">
        <v>3</v>
      </c>
      <c r="C14" s="40">
        <v>2</v>
      </c>
      <c r="D14" s="2" t="s">
        <v>92</v>
      </c>
      <c r="E14" s="2"/>
      <c r="F14" s="2"/>
      <c r="G14" s="2"/>
      <c r="I14" s="9" t="s">
        <v>88</v>
      </c>
      <c r="J14" s="10" t="s">
        <v>3</v>
      </c>
      <c r="K14" s="48">
        <v>2</v>
      </c>
      <c r="L14" s="9" t="s">
        <v>92</v>
      </c>
      <c r="M14" s="9"/>
      <c r="N14" s="9"/>
      <c r="O14" s="9"/>
    </row>
    <row r="15" spans="1:15" x14ac:dyDescent="0.25">
      <c r="A15" s="2" t="s">
        <v>89</v>
      </c>
      <c r="B15" s="40" t="s">
        <v>3</v>
      </c>
      <c r="C15" s="15">
        <v>0.6</v>
      </c>
      <c r="D15" s="2"/>
      <c r="E15" s="2"/>
      <c r="F15" s="2"/>
      <c r="G15" s="2"/>
      <c r="I15" s="9" t="s">
        <v>89</v>
      </c>
      <c r="J15" s="10" t="s">
        <v>3</v>
      </c>
      <c r="K15" s="49">
        <v>0.6</v>
      </c>
      <c r="L15" s="9"/>
      <c r="M15" s="9"/>
      <c r="N15" s="9"/>
      <c r="O15" s="9"/>
    </row>
    <row r="16" spans="1:15" x14ac:dyDescent="0.25">
      <c r="A16" s="2" t="s">
        <v>90</v>
      </c>
      <c r="B16" s="40" t="s">
        <v>3</v>
      </c>
      <c r="C16" s="40" t="s">
        <v>91</v>
      </c>
      <c r="D16" s="2"/>
      <c r="E16" s="2"/>
      <c r="F16" s="2"/>
      <c r="G16" s="2"/>
      <c r="I16" s="9" t="s">
        <v>90</v>
      </c>
      <c r="J16" s="10" t="s">
        <v>3</v>
      </c>
      <c r="K16" s="10" t="s">
        <v>91</v>
      </c>
      <c r="L16" s="9"/>
      <c r="M16" s="9"/>
      <c r="N16" s="9"/>
      <c r="O16" s="9"/>
    </row>
    <row r="17" spans="1:15" x14ac:dyDescent="0.25">
      <c r="A17" s="2"/>
      <c r="B17" s="40"/>
      <c r="C17" s="40"/>
      <c r="D17" s="2"/>
      <c r="E17" s="2"/>
      <c r="F17" s="2"/>
      <c r="G17" s="2"/>
      <c r="I17" s="9"/>
      <c r="J17" s="10"/>
      <c r="K17" s="10"/>
      <c r="L17" s="9"/>
      <c r="M17" s="9"/>
      <c r="N17" s="9"/>
      <c r="O17" s="9"/>
    </row>
    <row r="18" spans="1:15" x14ac:dyDescent="0.25">
      <c r="A18" s="1" t="s">
        <v>129</v>
      </c>
      <c r="B18" s="40"/>
      <c r="C18" s="40"/>
      <c r="D18" s="2"/>
      <c r="E18" s="2"/>
      <c r="F18" s="2"/>
      <c r="G18" s="2"/>
      <c r="I18" s="128" t="s">
        <v>129</v>
      </c>
      <c r="J18" s="10"/>
      <c r="K18" s="10"/>
      <c r="L18" s="9"/>
      <c r="M18" s="9"/>
      <c r="N18" s="9"/>
      <c r="O18" s="9"/>
    </row>
    <row r="19" spans="1:15" x14ac:dyDescent="0.25">
      <c r="A19" s="2" t="str">
        <f>CONCATENATE("Find the power altitude correction factor from Fig. 15-13.  For ",C12," ft altitude, the ")</f>
        <v xml:space="preserve">Find the power altitude correction factor from Fig. 15-13.  For 1000 ft altitude, the </v>
      </c>
      <c r="B19" s="40"/>
      <c r="C19" s="40"/>
      <c r="D19" s="2"/>
      <c r="E19" s="2"/>
      <c r="F19" s="2"/>
      <c r="G19" s="2"/>
      <c r="I19" s="9" t="str">
        <f>CONCATENATE("Find the power altitude correction factor from Fig. 15-13.  For ",K12," ft altitude, the ")</f>
        <v xml:space="preserve">Find the power altitude correction factor from Fig. 15-13.  For 1000 ft altitude, the </v>
      </c>
      <c r="J19" s="10"/>
      <c r="K19" s="10"/>
      <c r="L19" s="9"/>
      <c r="M19" s="9"/>
      <c r="N19" s="9"/>
      <c r="O19" s="9"/>
    </row>
    <row r="20" spans="1:15" x14ac:dyDescent="0.25">
      <c r="A20" s="2" t="s">
        <v>93</v>
      </c>
      <c r="B20" s="40">
        <v>0.96499999999999997</v>
      </c>
      <c r="C20" s="5" t="s">
        <v>127</v>
      </c>
      <c r="D20" s="2"/>
      <c r="E20" s="40"/>
      <c r="F20" s="16"/>
      <c r="G20" s="16"/>
      <c r="I20" s="9" t="s">
        <v>93</v>
      </c>
      <c r="J20" s="36">
        <f xml:space="preserve"> -0.0000333333*K12 + 1</f>
        <v>0.96666669999999999</v>
      </c>
      <c r="K20" s="11" t="s">
        <v>130</v>
      </c>
      <c r="L20" s="9"/>
      <c r="M20" s="10"/>
      <c r="N20" s="36"/>
      <c r="O20" s="36"/>
    </row>
    <row r="21" spans="1:15" x14ac:dyDescent="0.25">
      <c r="A21" s="2" t="str">
        <f>CONCATENATE("Find the power inlet loss correction factor from Fig. 15-14.  For ",C13," inches of water, the ")</f>
        <v xml:space="preserve">Find the power inlet loss correction factor from Fig. 15-14.  For 4 inches of water, the </v>
      </c>
      <c r="B21" s="40"/>
      <c r="C21" s="5"/>
      <c r="D21" s="2"/>
      <c r="E21" s="40"/>
      <c r="F21" s="16"/>
      <c r="G21" s="16"/>
      <c r="I21" s="9" t="str">
        <f>CONCATENATE("Find the power inlet loss correction factor from Fig. 15-14.  For ",K13," inches of water, the ")</f>
        <v xml:space="preserve">Find the power inlet loss correction factor from Fig. 15-14.  For 4 inches of water, the </v>
      </c>
      <c r="J21" s="10"/>
      <c r="K21" s="11"/>
      <c r="L21" s="9"/>
      <c r="M21" s="10"/>
      <c r="N21" s="36"/>
      <c r="O21" s="36"/>
    </row>
    <row r="22" spans="1:15" x14ac:dyDescent="0.25">
      <c r="A22" s="2" t="s">
        <v>93</v>
      </c>
      <c r="B22" s="40">
        <v>0.98399999999999999</v>
      </c>
      <c r="C22" s="5" t="s">
        <v>127</v>
      </c>
      <c r="D22" s="2"/>
      <c r="E22" s="40"/>
      <c r="F22" s="16"/>
      <c r="G22" s="16"/>
      <c r="I22" s="9" t="s">
        <v>93</v>
      </c>
      <c r="J22" s="10">
        <f>-0.004*K13+1</f>
        <v>0.98399999999999999</v>
      </c>
      <c r="K22" s="11" t="s">
        <v>127</v>
      </c>
      <c r="L22" s="9"/>
      <c r="M22" s="10"/>
      <c r="N22" s="36"/>
      <c r="O22" s="36"/>
    </row>
    <row r="23" spans="1:15" x14ac:dyDescent="0.25">
      <c r="A23" s="2" t="str">
        <f>CONCATENATE("Find the power exhaust loss correction factor from Fig. 15-15.  For ",C14," inches of water, the ")</f>
        <v xml:space="preserve">Find the power exhaust loss correction factor from Fig. 15-15.  For 2 inches of water, the </v>
      </c>
      <c r="B23" s="40"/>
      <c r="C23" s="5"/>
      <c r="D23" s="2"/>
      <c r="E23" s="2"/>
      <c r="F23" s="2"/>
      <c r="G23" s="2"/>
      <c r="I23" s="9" t="str">
        <f>CONCATENATE("Find the power exhaust loss correction factor from Fig. 15-15.  For ",K14," inches of water, the ")</f>
        <v xml:space="preserve">Find the power exhaust loss correction factor from Fig. 15-15.  For 2 inches of water, the </v>
      </c>
      <c r="J23" s="10"/>
      <c r="K23" s="11"/>
      <c r="L23" s="9"/>
      <c r="M23" s="9"/>
      <c r="N23" s="9"/>
      <c r="O23" s="9"/>
    </row>
    <row r="24" spans="1:15" x14ac:dyDescent="0.25">
      <c r="A24" s="2" t="s">
        <v>93</v>
      </c>
      <c r="B24" s="40">
        <v>0.99650000000000005</v>
      </c>
      <c r="C24" s="5" t="s">
        <v>127</v>
      </c>
      <c r="D24" s="41"/>
      <c r="E24" s="2"/>
      <c r="F24" s="2"/>
      <c r="G24" s="2"/>
      <c r="I24" s="9" t="s">
        <v>93</v>
      </c>
      <c r="J24" s="37">
        <f>-0.001666*K14+1</f>
        <v>0.996668</v>
      </c>
      <c r="K24" s="18" t="s">
        <v>127</v>
      </c>
      <c r="L24" s="18"/>
      <c r="M24" s="9"/>
      <c r="N24" s="9"/>
      <c r="O24" s="9"/>
    </row>
    <row r="25" spans="1:15" x14ac:dyDescent="0.25">
      <c r="A25" s="2" t="str">
        <f>CONCATENATE("Find the power ambient temperature correction factor from Fig. 15-16.  For ",C11," °F, the ")</f>
        <v xml:space="preserve">Find the power ambient temperature correction factor from Fig. 15-16.  For 80 °F, the </v>
      </c>
      <c r="B25" s="40"/>
      <c r="C25" s="40"/>
      <c r="D25" s="2"/>
      <c r="E25" s="2"/>
      <c r="F25" s="2"/>
      <c r="G25" s="2"/>
      <c r="I25" s="9" t="str">
        <f>CONCATENATE("Find the power ambient temperature correction factor from Fig. 15-16.  For ",K11," °F, the ")</f>
        <v xml:space="preserve">Find the power ambient temperature correction factor from Fig. 15-16.  For 80 °F, the </v>
      </c>
      <c r="J25" s="10"/>
      <c r="K25" s="10"/>
      <c r="L25" s="9"/>
      <c r="M25" s="9"/>
      <c r="N25" s="9"/>
      <c r="O25" s="9"/>
    </row>
    <row r="26" spans="1:15" x14ac:dyDescent="0.25">
      <c r="A26" s="2" t="s">
        <v>93</v>
      </c>
      <c r="B26" s="40">
        <v>0.91500000000000004</v>
      </c>
      <c r="C26" s="5" t="s">
        <v>127</v>
      </c>
      <c r="D26" s="2"/>
      <c r="E26" s="2"/>
      <c r="F26" s="2"/>
      <c r="G26" s="2"/>
      <c r="I26" s="9" t="s">
        <v>93</v>
      </c>
      <c r="J26" s="36">
        <f>-0.004166*K11+1.25</f>
        <v>0.91671999999999998</v>
      </c>
      <c r="K26" s="11" t="s">
        <v>127</v>
      </c>
      <c r="L26" s="9"/>
      <c r="M26" s="9"/>
      <c r="N26" s="9"/>
      <c r="O26" s="9"/>
    </row>
    <row r="27" spans="1:15" ht="15" customHeight="1" x14ac:dyDescent="0.25">
      <c r="A27" s="2" t="str">
        <f>CONCATENATE("Since relative humidity is ",C15*100,"% and fuel is ", C16, ", no corrections are required.")</f>
        <v>Since relative humidity is 60% and fuel is Natural Gas, no corrections are required.</v>
      </c>
      <c r="B27" s="40"/>
      <c r="C27" s="40"/>
      <c r="D27" s="2"/>
      <c r="E27" s="2"/>
      <c r="F27" s="2"/>
      <c r="G27" s="2"/>
      <c r="I27" s="9" t="str">
        <f>CONCATENATE("Since power output does not change with relative humidity and fuel is ", K16, ", no corrections are required.")</f>
        <v>Since power output does not change with relative humidity and fuel is Natural Gas, no corrections are required.</v>
      </c>
      <c r="J27" s="10"/>
      <c r="K27" s="10"/>
      <c r="L27" s="9"/>
      <c r="M27" s="9"/>
      <c r="N27" s="9"/>
      <c r="O27" s="9"/>
    </row>
    <row r="28" spans="1:15" x14ac:dyDescent="0.25">
      <c r="A28" s="40"/>
      <c r="B28" s="40"/>
      <c r="C28" s="5"/>
      <c r="D28" s="2"/>
      <c r="E28" s="40"/>
      <c r="F28" s="16"/>
      <c r="G28" s="16"/>
      <c r="I28" s="9"/>
      <c r="J28" s="10"/>
      <c r="K28" s="11"/>
      <c r="L28" s="9"/>
      <c r="M28" s="10"/>
      <c r="N28" s="36"/>
      <c r="O28" s="36"/>
    </row>
    <row r="29" spans="1:15" ht="30" customHeight="1" x14ac:dyDescent="0.25">
      <c r="A29" s="207" t="s">
        <v>94</v>
      </c>
      <c r="B29" s="207"/>
      <c r="C29" s="207"/>
      <c r="D29" s="207"/>
      <c r="E29" s="207"/>
      <c r="F29" s="207"/>
      <c r="G29" s="207"/>
      <c r="I29" s="209" t="s">
        <v>94</v>
      </c>
      <c r="J29" s="209"/>
      <c r="K29" s="209"/>
      <c r="L29" s="209"/>
      <c r="M29" s="209"/>
      <c r="N29" s="209"/>
      <c r="O29" s="209"/>
    </row>
    <row r="30" spans="1:15" x14ac:dyDescent="0.25">
      <c r="A30" s="38" t="s">
        <v>95</v>
      </c>
      <c r="B30" s="5" t="str">
        <f>CONCATENATE("power (",B20,") (",B22,") (",B24,") (",B26,")")</f>
        <v>power (0.965) (0.984) (0.9965) (0.915)</v>
      </c>
      <c r="C30" s="5"/>
      <c r="D30" s="2"/>
      <c r="E30" s="40"/>
      <c r="F30" s="16"/>
      <c r="G30" s="16"/>
      <c r="I30" s="12" t="s">
        <v>95</v>
      </c>
      <c r="J30" s="11" t="str">
        <f>CONCATENATE("power (",J20,") (",J22,") (",J24,") (",J26,")")</f>
        <v>power (0.9666667) (0.984) (0.996668) (0.91672)</v>
      </c>
      <c r="K30" s="11"/>
      <c r="L30" s="9"/>
      <c r="M30" s="10"/>
      <c r="N30" s="36"/>
      <c r="O30" s="36"/>
    </row>
    <row r="31" spans="1:15" x14ac:dyDescent="0.25">
      <c r="A31" s="38" t="s">
        <v>95</v>
      </c>
      <c r="B31" s="5" t="str">
        <f>CONCATENATE(C9," (",B20,") (",B22,") (",B24,") (",B26,")")</f>
        <v>27500 (0.965) (0.984) (0.9965) (0.915)</v>
      </c>
      <c r="C31" s="5"/>
      <c r="D31" s="2"/>
      <c r="E31" s="2"/>
      <c r="F31" s="2"/>
      <c r="G31" s="2"/>
      <c r="I31" s="12" t="s">
        <v>95</v>
      </c>
      <c r="J31" s="11" t="str">
        <f>CONCATENATE(K9," (",J20,") (",J22,") (",J24,") (",J26,")")</f>
        <v>27500 (0.9666667) (0.984) (0.996668) (0.91672)</v>
      </c>
      <c r="K31" s="11"/>
      <c r="L31" s="9"/>
      <c r="M31" s="9"/>
      <c r="N31" s="9"/>
      <c r="O31" s="9"/>
    </row>
    <row r="32" spans="1:15" x14ac:dyDescent="0.25">
      <c r="A32" s="38" t="s">
        <v>95</v>
      </c>
      <c r="B32" s="17">
        <f>ROUND((C9*B20*B22*B24*B26),-1)</f>
        <v>23810</v>
      </c>
      <c r="C32" s="41" t="s">
        <v>77</v>
      </c>
      <c r="D32" s="41"/>
      <c r="E32" s="2"/>
      <c r="F32" s="2"/>
      <c r="G32" s="2"/>
      <c r="I32" s="12" t="s">
        <v>95</v>
      </c>
      <c r="J32" s="51">
        <f>(K9*J20*J22*J24*J26)</f>
        <v>23899.662684341951</v>
      </c>
      <c r="K32" s="141" t="s">
        <v>77</v>
      </c>
      <c r="L32" s="18"/>
      <c r="M32" s="9"/>
      <c r="N32" s="9"/>
      <c r="O32" s="9"/>
    </row>
    <row r="33" spans="1:15" x14ac:dyDescent="0.25">
      <c r="A33" s="2"/>
      <c r="B33" s="40"/>
      <c r="C33" s="40"/>
      <c r="D33" s="2"/>
      <c r="E33" s="2"/>
      <c r="F33" s="2"/>
      <c r="G33" s="2"/>
      <c r="I33" s="9"/>
      <c r="J33" s="10"/>
      <c r="K33" s="10"/>
      <c r="L33" s="9"/>
      <c r="M33" s="9"/>
      <c r="N33" s="9"/>
      <c r="O33" s="9"/>
    </row>
    <row r="34" spans="1:15" ht="45" customHeight="1" x14ac:dyDescent="0.25">
      <c r="A34" s="207" t="s">
        <v>380</v>
      </c>
      <c r="B34" s="216"/>
      <c r="C34" s="207"/>
      <c r="D34" s="207"/>
      <c r="E34" s="207"/>
      <c r="F34" s="207"/>
      <c r="G34" s="207"/>
      <c r="I34" s="209" t="s">
        <v>379</v>
      </c>
      <c r="J34" s="217"/>
      <c r="K34" s="209"/>
      <c r="L34" s="209"/>
      <c r="M34" s="209"/>
      <c r="N34" s="209"/>
      <c r="O34" s="209"/>
    </row>
    <row r="35" spans="1:15" ht="15" customHeight="1" x14ac:dyDescent="0.25">
      <c r="A35" s="2" t="s">
        <v>98</v>
      </c>
      <c r="B35" s="40" t="s">
        <v>3</v>
      </c>
      <c r="C35" s="40">
        <v>1.0065</v>
      </c>
      <c r="D35" s="2"/>
      <c r="E35" s="40"/>
      <c r="F35" s="40"/>
      <c r="G35" s="2"/>
      <c r="I35" s="9" t="s">
        <v>98</v>
      </c>
      <c r="J35" s="142" t="s">
        <v>3</v>
      </c>
      <c r="K35" s="10">
        <f>0.0016*K13+1</f>
        <v>1.0064</v>
      </c>
      <c r="L35" s="9"/>
      <c r="M35" s="10"/>
      <c r="N35" s="10"/>
      <c r="O35" s="9"/>
    </row>
    <row r="36" spans="1:15" x14ac:dyDescent="0.25">
      <c r="A36" s="2" t="s">
        <v>96</v>
      </c>
      <c r="B36" s="40" t="s">
        <v>3</v>
      </c>
      <c r="C36" s="40">
        <v>1.0029999999999999</v>
      </c>
      <c r="D36" s="2"/>
      <c r="E36" s="40"/>
      <c r="F36" s="40"/>
      <c r="G36" s="16"/>
      <c r="I36" s="9" t="s">
        <v>96</v>
      </c>
      <c r="J36" s="10" t="s">
        <v>3</v>
      </c>
      <c r="K36" s="36">
        <f>0.0017*K14+1</f>
        <v>1.0034000000000001</v>
      </c>
      <c r="L36" s="9"/>
      <c r="M36" s="10"/>
      <c r="N36" s="10"/>
      <c r="O36" s="36"/>
    </row>
    <row r="37" spans="1:15" x14ac:dyDescent="0.25">
      <c r="A37" s="2" t="s">
        <v>97</v>
      </c>
      <c r="B37" s="40" t="s">
        <v>3</v>
      </c>
      <c r="C37" s="40">
        <v>1.03</v>
      </c>
      <c r="D37" s="2"/>
      <c r="E37" s="40"/>
      <c r="F37" s="40"/>
      <c r="G37" s="16"/>
      <c r="I37" s="9" t="s">
        <v>97</v>
      </c>
      <c r="J37" s="10" t="s">
        <v>3</v>
      </c>
      <c r="K37" s="35">
        <f>0.000003*K11^2+0.0011*K11+0.9319</f>
        <v>1.0390999999999999</v>
      </c>
      <c r="L37" s="9"/>
      <c r="M37" s="10"/>
      <c r="N37" s="10"/>
      <c r="O37" s="36"/>
    </row>
    <row r="38" spans="1:15" x14ac:dyDescent="0.25">
      <c r="A38" s="2"/>
      <c r="B38" s="40"/>
      <c r="C38" s="5"/>
      <c r="D38" s="2"/>
      <c r="E38" s="40"/>
      <c r="F38" s="16"/>
      <c r="G38" s="16"/>
      <c r="I38" s="9"/>
      <c r="J38" s="10"/>
      <c r="K38" s="11"/>
      <c r="L38" s="9"/>
      <c r="M38" s="10"/>
      <c r="N38" s="36"/>
      <c r="O38" s="36"/>
    </row>
    <row r="39" spans="1:15" x14ac:dyDescent="0.25">
      <c r="A39" s="2" t="s">
        <v>99</v>
      </c>
      <c r="B39" s="40"/>
      <c r="C39" s="5"/>
      <c r="D39" s="2"/>
      <c r="E39" s="2"/>
      <c r="F39" s="2"/>
      <c r="G39" s="2"/>
      <c r="I39" s="9" t="s">
        <v>99</v>
      </c>
      <c r="J39" s="10"/>
      <c r="K39" s="11"/>
      <c r="L39" s="9"/>
      <c r="M39" s="9"/>
      <c r="N39" s="9"/>
      <c r="O39" s="9"/>
    </row>
    <row r="40" spans="1:15" x14ac:dyDescent="0.25">
      <c r="A40" s="38" t="s">
        <v>100</v>
      </c>
      <c r="B40" s="5" t="str">
        <f>CONCATENATE("heat rate (",C35,") (",C36,") (",C37,")")</f>
        <v>heat rate (1.0065) (1.003) (1.03)</v>
      </c>
      <c r="C40" s="41"/>
      <c r="D40" s="41"/>
      <c r="E40" s="2"/>
      <c r="F40" s="2"/>
      <c r="G40" s="2"/>
      <c r="I40" s="12" t="s">
        <v>100</v>
      </c>
      <c r="J40" s="11" t="str">
        <f>CONCATENATE("heat rate (",K35,") (",K36,") (",K37,")")</f>
        <v>heat rate (1.0064) (1.0034) (1.0391)</v>
      </c>
      <c r="K40" s="18"/>
      <c r="L40" s="18"/>
      <c r="M40" s="9"/>
      <c r="N40" s="9"/>
      <c r="O40" s="9"/>
    </row>
    <row r="41" spans="1:15" x14ac:dyDescent="0.25">
      <c r="A41" s="38" t="s">
        <v>100</v>
      </c>
      <c r="B41" s="5" t="str">
        <f>CONCATENATE("[",C10," Btu/(hp • hr)](",C35,") (",C36,") (",C37,")")</f>
        <v>[7090 Btu/(hp • hr)](1.0065) (1.003) (1.03)</v>
      </c>
      <c r="C41" s="40"/>
      <c r="D41" s="2"/>
      <c r="E41" s="2"/>
      <c r="F41" s="2"/>
      <c r="G41" s="2"/>
      <c r="I41" s="12" t="s">
        <v>100</v>
      </c>
      <c r="J41" s="11" t="str">
        <f>CONCATENATE("[",K10," Btu/(hp • hr)](",K35,") (",K36,") (",K37,")")</f>
        <v>[7090 Btu/(hp • hr)](1.0064) (1.0034) (1.0391)</v>
      </c>
      <c r="K41" s="10"/>
      <c r="L41" s="9"/>
      <c r="M41" s="9"/>
      <c r="N41" s="9"/>
      <c r="O41" s="9"/>
    </row>
    <row r="42" spans="1:15" x14ac:dyDescent="0.25">
      <c r="A42" s="38" t="s">
        <v>100</v>
      </c>
      <c r="B42" s="17">
        <f>ROUND((C10*C35*C36*C37),-1)</f>
        <v>7370</v>
      </c>
      <c r="C42" s="5" t="s">
        <v>83</v>
      </c>
      <c r="D42" s="2"/>
      <c r="E42" s="2"/>
      <c r="F42" s="2"/>
      <c r="G42" s="2"/>
      <c r="I42" s="12" t="s">
        <v>100</v>
      </c>
      <c r="J42" s="51">
        <f>(K10*K35*K36*K37)</f>
        <v>7439.5780568854389</v>
      </c>
      <c r="K42" s="132" t="s">
        <v>83</v>
      </c>
      <c r="L42" s="133"/>
      <c r="M42" s="9"/>
      <c r="N42" s="9"/>
      <c r="O42" s="9"/>
    </row>
    <row r="43" spans="1:15" x14ac:dyDescent="0.25">
      <c r="A43" s="2"/>
      <c r="B43" s="40"/>
      <c r="C43" s="5"/>
      <c r="D43" s="2"/>
      <c r="E43" s="40"/>
      <c r="F43" s="16"/>
      <c r="G43" s="16"/>
      <c r="I43" s="9"/>
      <c r="J43" s="10"/>
      <c r="K43" s="11"/>
      <c r="L43" s="9"/>
      <c r="M43" s="10"/>
      <c r="N43" s="36"/>
      <c r="O43" s="36"/>
    </row>
    <row r="44" spans="1:15" ht="28.5" customHeight="1" x14ac:dyDescent="0.25">
      <c r="A44" s="214" t="s">
        <v>382</v>
      </c>
      <c r="B44" s="204"/>
      <c r="C44" s="204"/>
      <c r="D44" s="204"/>
      <c r="E44" s="204"/>
      <c r="F44" s="204"/>
      <c r="G44" s="204"/>
      <c r="I44" s="215" t="s">
        <v>382</v>
      </c>
      <c r="J44" s="202"/>
      <c r="K44" s="202"/>
      <c r="L44" s="202"/>
      <c r="M44" s="202"/>
      <c r="N44" s="202"/>
      <c r="O44" s="202"/>
    </row>
    <row r="45" spans="1:15" x14ac:dyDescent="0.25">
      <c r="A45" s="2" t="s">
        <v>381</v>
      </c>
      <c r="B45" s="40"/>
      <c r="C45" s="5"/>
      <c r="D45" s="2"/>
      <c r="E45" s="40"/>
      <c r="F45" s="16"/>
      <c r="G45" s="16"/>
      <c r="I45" s="127" t="s">
        <v>381</v>
      </c>
      <c r="J45" s="126"/>
      <c r="K45" s="131"/>
      <c r="L45" s="127"/>
      <c r="M45" s="126"/>
      <c r="N45" s="140"/>
      <c r="O45" s="140"/>
    </row>
    <row r="48" spans="1:15" x14ac:dyDescent="0.25">
      <c r="A48" s="135" t="s">
        <v>191</v>
      </c>
    </row>
    <row r="49" spans="1:10" x14ac:dyDescent="0.25">
      <c r="A49" s="135" t="s">
        <v>389</v>
      </c>
    </row>
    <row r="50" spans="1:10" x14ac:dyDescent="0.25">
      <c r="A50" s="135" t="s">
        <v>390</v>
      </c>
    </row>
    <row r="51" spans="1:10" x14ac:dyDescent="0.25">
      <c r="A51" s="135" t="s">
        <v>391</v>
      </c>
    </row>
    <row r="52" spans="1:10" x14ac:dyDescent="0.25">
      <c r="A52" s="136" t="s">
        <v>392</v>
      </c>
    </row>
    <row r="54" spans="1:10" x14ac:dyDescent="0.25">
      <c r="J54" s="137"/>
    </row>
    <row r="56" spans="1:10" x14ac:dyDescent="0.25">
      <c r="B56" s="138"/>
      <c r="J56" s="138"/>
    </row>
    <row r="62" spans="1:10" x14ac:dyDescent="0.25">
      <c r="J62" s="139"/>
    </row>
  </sheetData>
  <sheetProtection password="E156" sheet="1" objects="1" scenarios="1"/>
  <customSheetViews>
    <customSheetView guid="{4F8C502A-1B49-4129-81FD-D7C5FEE19727}">
      <selection sqref="A1:E1"/>
      <pageMargins left="0.75" right="0.75" top="1" bottom="1" header="0.5" footer="0.5"/>
      <pageSetup orientation="portrait" r:id="rId1"/>
      <headerFooter alignWithMargins="0"/>
    </customSheetView>
  </customSheetViews>
  <mergeCells count="10">
    <mergeCell ref="A5:E5"/>
    <mergeCell ref="I5:M5"/>
    <mergeCell ref="A7:G7"/>
    <mergeCell ref="I7:O7"/>
    <mergeCell ref="A29:G29"/>
    <mergeCell ref="A44:G44"/>
    <mergeCell ref="I44:O44"/>
    <mergeCell ref="A34:G34"/>
    <mergeCell ref="I29:O29"/>
    <mergeCell ref="I34:O34"/>
  </mergeCells>
  <phoneticPr fontId="3" type="noConversion"/>
  <pageMargins left="0.75" right="0.75" top="1" bottom="1" header="0.5" footer="0.5"/>
  <pageSetup paperSize="17"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05"/>
  <sheetViews>
    <sheetView zoomScale="80" zoomScaleNormal="80" workbookViewId="0">
      <selection activeCell="Q21" sqref="Q21"/>
    </sheetView>
  </sheetViews>
  <sheetFormatPr defaultRowHeight="15" x14ac:dyDescent="0.25"/>
  <cols>
    <col min="1" max="1" width="20.28515625" style="145" customWidth="1"/>
    <col min="2" max="2" width="10.28515625" style="144" customWidth="1"/>
    <col min="3" max="3" width="9.28515625" style="144" customWidth="1"/>
    <col min="4" max="4" width="13.7109375" style="145" customWidth="1"/>
    <col min="5" max="5" width="10.85546875" style="145" customWidth="1"/>
    <col min="6" max="6" width="9.140625" style="145"/>
    <col min="7" max="7" width="11.7109375" style="145" customWidth="1"/>
    <col min="8" max="8" width="9.140625" style="145"/>
    <col min="9" max="9" width="20.140625" style="145" customWidth="1"/>
    <col min="10" max="10" width="10.28515625" style="144" customWidth="1"/>
    <col min="11" max="11" width="9.28515625" style="144" customWidth="1"/>
    <col min="12" max="12" width="13.7109375" style="145" customWidth="1"/>
    <col min="13" max="13" width="10.85546875" style="145" customWidth="1"/>
    <col min="14" max="14" width="9.140625" style="145"/>
    <col min="15" max="15" width="11.7109375" style="145" customWidth="1"/>
    <col min="16" max="16384" width="9.140625" style="145"/>
  </cols>
  <sheetData>
    <row r="1" spans="1:15" x14ac:dyDescent="0.25">
      <c r="A1" s="143" t="s">
        <v>384</v>
      </c>
    </row>
    <row r="5" spans="1:15" x14ac:dyDescent="0.25">
      <c r="A5" s="58" t="s">
        <v>347</v>
      </c>
      <c r="B5" s="59"/>
      <c r="C5" s="59"/>
      <c r="D5" s="60"/>
      <c r="E5" s="60"/>
      <c r="F5" s="60"/>
      <c r="G5" s="60"/>
      <c r="H5" s="146"/>
      <c r="I5" s="147" t="s">
        <v>79</v>
      </c>
      <c r="J5" s="63"/>
      <c r="K5" s="63"/>
      <c r="L5" s="63"/>
      <c r="M5" s="63"/>
      <c r="N5" s="63"/>
      <c r="O5" s="63"/>
    </row>
    <row r="6" spans="1:15" ht="46.5" customHeight="1" x14ac:dyDescent="0.25">
      <c r="A6" s="222" t="s">
        <v>367</v>
      </c>
      <c r="B6" s="223"/>
      <c r="C6" s="223"/>
      <c r="D6" s="223"/>
      <c r="E6" s="223"/>
      <c r="F6" s="223"/>
      <c r="G6" s="223"/>
      <c r="H6" s="146"/>
      <c r="I6" s="224" t="s">
        <v>367</v>
      </c>
      <c r="J6" s="225"/>
      <c r="K6" s="225"/>
      <c r="L6" s="225"/>
      <c r="M6" s="225"/>
      <c r="N6" s="225"/>
      <c r="O6" s="225"/>
    </row>
    <row r="7" spans="1:15" x14ac:dyDescent="0.25">
      <c r="A7" s="60"/>
      <c r="B7" s="59"/>
      <c r="C7" s="59"/>
      <c r="D7" s="60"/>
      <c r="E7" s="60"/>
      <c r="F7" s="60"/>
      <c r="G7" s="60"/>
      <c r="H7" s="146"/>
      <c r="I7" s="63"/>
      <c r="J7" s="63"/>
      <c r="K7" s="63"/>
      <c r="L7" s="63"/>
      <c r="M7" s="63"/>
      <c r="N7" s="63"/>
      <c r="O7" s="63"/>
    </row>
    <row r="8" spans="1:15" x14ac:dyDescent="0.25">
      <c r="A8" s="60" t="s">
        <v>46</v>
      </c>
      <c r="B8" s="59"/>
      <c r="C8" s="59"/>
      <c r="D8" s="60"/>
      <c r="E8" s="60"/>
      <c r="F8" s="60"/>
      <c r="G8" s="60"/>
      <c r="H8" s="146"/>
      <c r="I8" s="63" t="s">
        <v>46</v>
      </c>
      <c r="J8" s="63"/>
      <c r="K8" s="63"/>
      <c r="L8" s="63"/>
      <c r="M8" s="63"/>
      <c r="N8" s="63"/>
      <c r="O8" s="63"/>
    </row>
    <row r="9" spans="1:15" x14ac:dyDescent="0.25">
      <c r="A9" s="60"/>
      <c r="B9" s="59"/>
      <c r="C9" s="59"/>
      <c r="D9" s="60"/>
      <c r="E9" s="60"/>
      <c r="F9" s="60"/>
      <c r="G9" s="60"/>
      <c r="H9" s="146"/>
      <c r="I9" s="63"/>
      <c r="J9" s="63"/>
      <c r="K9" s="63"/>
      <c r="L9" s="63"/>
      <c r="M9" s="63"/>
      <c r="N9" s="63"/>
      <c r="O9" s="63"/>
    </row>
    <row r="10" spans="1:15" x14ac:dyDescent="0.25">
      <c r="A10" s="60" t="s">
        <v>47</v>
      </c>
      <c r="B10" s="59" t="s">
        <v>3</v>
      </c>
      <c r="C10" s="59">
        <v>600</v>
      </c>
      <c r="D10" s="60" t="s">
        <v>8</v>
      </c>
      <c r="E10" s="60"/>
      <c r="F10" s="60"/>
      <c r="G10" s="60"/>
      <c r="H10" s="146"/>
      <c r="I10" s="63" t="s">
        <v>47</v>
      </c>
      <c r="J10" s="63" t="s">
        <v>3</v>
      </c>
      <c r="K10" s="61">
        <v>600</v>
      </c>
      <c r="L10" s="63" t="s">
        <v>8</v>
      </c>
      <c r="M10" s="63"/>
      <c r="N10" s="63"/>
      <c r="O10" s="63"/>
    </row>
    <row r="11" spans="1:15" x14ac:dyDescent="0.25">
      <c r="A11" s="60" t="s">
        <v>48</v>
      </c>
      <c r="B11" s="59" t="s">
        <v>3</v>
      </c>
      <c r="C11" s="59">
        <v>750</v>
      </c>
      <c r="D11" s="60" t="s">
        <v>7</v>
      </c>
      <c r="E11" s="60"/>
      <c r="F11" s="60"/>
      <c r="G11" s="60"/>
      <c r="H11" s="146"/>
      <c r="I11" s="63" t="s">
        <v>48</v>
      </c>
      <c r="J11" s="63" t="s">
        <v>3</v>
      </c>
      <c r="K11" s="61">
        <v>750</v>
      </c>
      <c r="L11" s="63" t="s">
        <v>7</v>
      </c>
      <c r="M11" s="63"/>
      <c r="N11" s="63"/>
      <c r="O11" s="63"/>
    </row>
    <row r="12" spans="1:15" x14ac:dyDescent="0.25">
      <c r="A12" s="60" t="s">
        <v>49</v>
      </c>
      <c r="B12" s="59" t="s">
        <v>3</v>
      </c>
      <c r="C12" s="59">
        <v>2</v>
      </c>
      <c r="D12" s="60" t="s">
        <v>8</v>
      </c>
      <c r="E12" s="60"/>
      <c r="F12" s="60"/>
      <c r="G12" s="60"/>
      <c r="H12" s="146"/>
      <c r="I12" s="63" t="s">
        <v>49</v>
      </c>
      <c r="J12" s="63" t="s">
        <v>3</v>
      </c>
      <c r="K12" s="61">
        <v>2</v>
      </c>
      <c r="L12" s="63" t="s">
        <v>8</v>
      </c>
      <c r="M12" s="63"/>
      <c r="N12" s="63"/>
      <c r="O12" s="63"/>
    </row>
    <row r="13" spans="1:15" x14ac:dyDescent="0.25">
      <c r="A13" s="60" t="s">
        <v>50</v>
      </c>
      <c r="B13" s="59" t="s">
        <v>3</v>
      </c>
      <c r="C13" s="59">
        <v>6000</v>
      </c>
      <c r="D13" s="60" t="s">
        <v>77</v>
      </c>
      <c r="E13" s="60"/>
      <c r="F13" s="60"/>
      <c r="G13" s="60"/>
      <c r="H13" s="146"/>
      <c r="I13" s="63" t="s">
        <v>50</v>
      </c>
      <c r="J13" s="63" t="s">
        <v>3</v>
      </c>
      <c r="K13" s="61">
        <v>6000</v>
      </c>
      <c r="L13" s="63" t="s">
        <v>77</v>
      </c>
      <c r="M13" s="63"/>
      <c r="N13" s="63"/>
      <c r="O13" s="63"/>
    </row>
    <row r="14" spans="1:15" x14ac:dyDescent="0.25">
      <c r="A14" s="60" t="s">
        <v>51</v>
      </c>
      <c r="B14" s="59" t="s">
        <v>3</v>
      </c>
      <c r="C14" s="59">
        <v>7000</v>
      </c>
      <c r="D14" s="60" t="s">
        <v>52</v>
      </c>
      <c r="E14" s="60"/>
      <c r="F14" s="60"/>
      <c r="G14" s="60"/>
      <c r="H14" s="146"/>
      <c r="I14" s="63" t="s">
        <v>51</v>
      </c>
      <c r="J14" s="63" t="s">
        <v>3</v>
      </c>
      <c r="K14" s="61">
        <v>7000</v>
      </c>
      <c r="L14" s="63" t="s">
        <v>52</v>
      </c>
      <c r="M14" s="63"/>
      <c r="N14" s="63"/>
      <c r="O14" s="63"/>
    </row>
    <row r="15" spans="1:15" x14ac:dyDescent="0.25">
      <c r="A15" s="60"/>
      <c r="B15" s="59"/>
      <c r="C15" s="62"/>
      <c r="D15" s="60"/>
      <c r="E15" s="60"/>
      <c r="F15" s="60"/>
      <c r="G15" s="60"/>
      <c r="H15" s="146"/>
      <c r="I15" s="63"/>
      <c r="J15" s="63"/>
      <c r="K15" s="63"/>
      <c r="L15" s="63"/>
      <c r="M15" s="63"/>
      <c r="N15" s="63"/>
      <c r="O15" s="63"/>
    </row>
    <row r="16" spans="1:15" x14ac:dyDescent="0.25">
      <c r="A16" s="60" t="s">
        <v>53</v>
      </c>
      <c r="B16" s="59"/>
      <c r="C16" s="59"/>
      <c r="D16" s="60"/>
      <c r="E16" s="60"/>
      <c r="F16" s="60"/>
      <c r="G16" s="60"/>
      <c r="H16" s="146"/>
      <c r="I16" s="63" t="s">
        <v>53</v>
      </c>
      <c r="J16" s="63"/>
      <c r="K16" s="63"/>
      <c r="L16" s="63"/>
      <c r="M16" s="63"/>
      <c r="N16" s="63"/>
      <c r="O16" s="63"/>
    </row>
    <row r="17" spans="1:15" x14ac:dyDescent="0.25">
      <c r="A17" s="60"/>
      <c r="B17" s="64" t="s">
        <v>54</v>
      </c>
      <c r="C17" s="59"/>
      <c r="D17" s="60"/>
      <c r="E17" s="60"/>
      <c r="F17" s="60"/>
      <c r="G17" s="60"/>
      <c r="H17" s="146"/>
      <c r="I17" s="63"/>
      <c r="J17" s="63" t="s">
        <v>54</v>
      </c>
      <c r="K17" s="63"/>
      <c r="L17" s="63"/>
      <c r="M17" s="63"/>
      <c r="N17" s="63"/>
      <c r="O17" s="63"/>
    </row>
    <row r="18" spans="1:15" x14ac:dyDescent="0.25">
      <c r="A18" s="60"/>
      <c r="B18" s="64" t="s">
        <v>55</v>
      </c>
      <c r="C18" s="59"/>
      <c r="D18" s="60"/>
      <c r="E18" s="60"/>
      <c r="F18" s="60"/>
      <c r="G18" s="60"/>
      <c r="H18" s="146"/>
      <c r="I18" s="63"/>
      <c r="J18" s="63" t="s">
        <v>55</v>
      </c>
      <c r="K18" s="63"/>
      <c r="L18" s="63"/>
      <c r="M18" s="63"/>
      <c r="N18" s="63"/>
      <c r="O18" s="63"/>
    </row>
    <row r="19" spans="1:15" ht="15" customHeight="1" x14ac:dyDescent="0.25">
      <c r="A19" s="65"/>
      <c r="B19" s="65" t="s">
        <v>56</v>
      </c>
      <c r="C19" s="65"/>
      <c r="D19" s="65"/>
      <c r="E19" s="60"/>
      <c r="F19" s="60"/>
      <c r="G19" s="60"/>
      <c r="H19" s="146"/>
      <c r="I19" s="63"/>
      <c r="J19" s="63" t="s">
        <v>56</v>
      </c>
      <c r="K19" s="63"/>
      <c r="L19" s="63"/>
      <c r="M19" s="63"/>
      <c r="N19" s="63"/>
      <c r="O19" s="63"/>
    </row>
    <row r="20" spans="1:15" x14ac:dyDescent="0.25">
      <c r="A20" s="65"/>
      <c r="B20" s="65" t="s">
        <v>124</v>
      </c>
      <c r="C20" s="65"/>
      <c r="D20" s="65"/>
      <c r="E20" s="60">
        <v>4000</v>
      </c>
      <c r="F20" s="60" t="s">
        <v>126</v>
      </c>
      <c r="G20" s="60"/>
      <c r="H20" s="146"/>
      <c r="I20" s="63"/>
      <c r="J20" s="63" t="s">
        <v>124</v>
      </c>
      <c r="K20" s="63"/>
      <c r="L20" s="63"/>
      <c r="M20" s="66">
        <v>4000</v>
      </c>
      <c r="N20" s="63" t="s">
        <v>126</v>
      </c>
      <c r="O20" s="63"/>
    </row>
    <row r="21" spans="1:15" x14ac:dyDescent="0.25">
      <c r="A21" s="65"/>
      <c r="B21" s="65"/>
      <c r="C21" s="65"/>
      <c r="D21" s="65"/>
      <c r="E21" s="60">
        <v>6100</v>
      </c>
      <c r="F21" s="60" t="s">
        <v>125</v>
      </c>
      <c r="G21" s="60"/>
      <c r="H21" s="146"/>
      <c r="I21" s="63"/>
      <c r="J21" s="63"/>
      <c r="K21" s="63"/>
      <c r="L21" s="63"/>
      <c r="M21" s="66">
        <v>6100</v>
      </c>
      <c r="N21" s="63" t="s">
        <v>125</v>
      </c>
      <c r="O21" s="63"/>
    </row>
    <row r="22" spans="1:15" x14ac:dyDescent="0.25">
      <c r="A22" s="65"/>
      <c r="B22" s="65"/>
      <c r="C22" s="65"/>
      <c r="D22" s="65"/>
      <c r="E22" s="60"/>
      <c r="F22" s="60"/>
      <c r="G22" s="60"/>
      <c r="H22" s="146"/>
      <c r="I22" s="63"/>
      <c r="J22" s="63"/>
      <c r="K22" s="63"/>
      <c r="L22" s="63"/>
      <c r="M22" s="63"/>
      <c r="N22" s="63"/>
      <c r="O22" s="63"/>
    </row>
    <row r="23" spans="1:15" x14ac:dyDescent="0.25">
      <c r="A23" s="65"/>
      <c r="B23" s="65"/>
      <c r="C23" s="65"/>
      <c r="D23" s="65"/>
      <c r="E23" s="60"/>
      <c r="F23" s="60"/>
      <c r="G23" s="60"/>
      <c r="H23" s="146"/>
      <c r="I23" s="63"/>
      <c r="J23" s="63"/>
      <c r="K23" s="63"/>
      <c r="L23" s="63"/>
      <c r="M23" s="63"/>
      <c r="N23" s="63"/>
      <c r="O23" s="63"/>
    </row>
    <row r="24" spans="1:15" x14ac:dyDescent="0.25">
      <c r="A24" s="65" t="s">
        <v>123</v>
      </c>
      <c r="B24" s="65"/>
      <c r="C24" s="65"/>
      <c r="D24" s="59" t="s">
        <v>3</v>
      </c>
      <c r="E24" s="60">
        <v>486.2</v>
      </c>
      <c r="F24" s="60" t="s">
        <v>7</v>
      </c>
      <c r="G24" s="60" t="s">
        <v>122</v>
      </c>
      <c r="H24" s="146"/>
      <c r="I24" s="63" t="s">
        <v>123</v>
      </c>
      <c r="J24" s="63"/>
      <c r="K24" s="63"/>
      <c r="L24" s="63" t="s">
        <v>3</v>
      </c>
      <c r="M24" s="63">
        <f>VLOOKUP(K10,SaturatedSteamPressure,2,TRUE)</f>
        <v>486.2</v>
      </c>
      <c r="N24" s="63" t="s">
        <v>7</v>
      </c>
      <c r="O24" s="63" t="s">
        <v>122</v>
      </c>
    </row>
    <row r="25" spans="1:15" x14ac:dyDescent="0.25">
      <c r="A25" s="65"/>
      <c r="B25" s="65"/>
      <c r="C25" s="65"/>
      <c r="D25" s="65"/>
      <c r="E25" s="60"/>
      <c r="F25" s="60"/>
      <c r="G25" s="60"/>
      <c r="H25" s="146"/>
      <c r="I25" s="63"/>
      <c r="J25" s="63"/>
      <c r="K25" s="63"/>
      <c r="L25" s="63"/>
      <c r="M25" s="63"/>
      <c r="N25" s="63"/>
      <c r="O25" s="63"/>
    </row>
    <row r="26" spans="1:15" ht="46.5" customHeight="1" x14ac:dyDescent="0.25">
      <c r="A26" s="226" t="s">
        <v>369</v>
      </c>
      <c r="B26" s="226"/>
      <c r="C26" s="226"/>
      <c r="D26" s="226"/>
      <c r="E26" s="226"/>
      <c r="F26" s="226"/>
      <c r="G26" s="226"/>
      <c r="H26" s="146"/>
      <c r="I26" s="227" t="s">
        <v>368</v>
      </c>
      <c r="J26" s="227"/>
      <c r="K26" s="227"/>
      <c r="L26" s="227"/>
      <c r="M26" s="227"/>
      <c r="N26" s="227"/>
      <c r="O26" s="227"/>
    </row>
    <row r="27" spans="1:15" ht="33.75" customHeight="1" x14ac:dyDescent="0.25">
      <c r="A27" s="226" t="str">
        <f>CONCATENATE( "Fig. 24-32 for superheated steam indicates that the inlet is superheated (i.e., ", C11, " °F is above the saturation temperature of ", E24, " °F) and gives an inlet entropy of:")</f>
        <v>Fig. 24-32 for superheated steam indicates that the inlet is superheated (i.e., 750 °F is above the saturation temperature of 486.2 °F) and gives an inlet entropy of:</v>
      </c>
      <c r="B27" s="226"/>
      <c r="C27" s="226"/>
      <c r="D27" s="226"/>
      <c r="E27" s="226"/>
      <c r="F27" s="226"/>
      <c r="G27" s="226"/>
      <c r="H27" s="146"/>
      <c r="I27" s="227" t="str">
        <f>CONCATENATE( "Fig. 24-32 for superheated steam indicates that the inlet is superheated (i.e., ", K11, " °F is above the saturation temperature of ", M24, " °F) and gives an inlet entropy of:")</f>
        <v>Fig. 24-32 for superheated steam indicates that the inlet is superheated (i.e., 750 °F is above the saturation temperature of 486.2 °F) and gives an inlet entropy of:</v>
      </c>
      <c r="J27" s="227"/>
      <c r="K27" s="227"/>
      <c r="L27" s="227"/>
      <c r="M27" s="227"/>
      <c r="N27" s="227"/>
      <c r="O27" s="227"/>
    </row>
    <row r="28" spans="1:15" x14ac:dyDescent="0.25">
      <c r="A28" s="65">
        <v>1.6109</v>
      </c>
      <c r="B28" s="65" t="s">
        <v>57</v>
      </c>
      <c r="C28" s="65"/>
      <c r="D28" s="65"/>
      <c r="E28" s="60"/>
      <c r="F28" s="60"/>
      <c r="G28" s="59" t="s">
        <v>370</v>
      </c>
      <c r="H28" s="146"/>
      <c r="I28" s="66">
        <v>1.6109</v>
      </c>
      <c r="J28" s="63" t="s">
        <v>57</v>
      </c>
      <c r="K28" s="63"/>
      <c r="L28" s="63"/>
      <c r="M28" s="63"/>
      <c r="N28" s="63"/>
      <c r="O28" s="63" t="s">
        <v>370</v>
      </c>
    </row>
    <row r="29" spans="1:15" ht="30" customHeight="1" x14ac:dyDescent="0.25">
      <c r="A29" s="226" t="s">
        <v>371</v>
      </c>
      <c r="B29" s="226"/>
      <c r="C29" s="226"/>
      <c r="D29" s="226"/>
      <c r="E29" s="226"/>
      <c r="F29" s="226"/>
      <c r="G29" s="226"/>
      <c r="H29" s="146"/>
      <c r="I29" s="227" t="s">
        <v>371</v>
      </c>
      <c r="J29" s="227"/>
      <c r="K29" s="227"/>
      <c r="L29" s="227"/>
      <c r="M29" s="227"/>
      <c r="N29" s="227"/>
      <c r="O29" s="227"/>
    </row>
    <row r="30" spans="1:15" x14ac:dyDescent="0.25">
      <c r="A30" s="65">
        <v>0.17499999999999999</v>
      </c>
      <c r="B30" s="65" t="s">
        <v>178</v>
      </c>
      <c r="C30" s="65"/>
      <c r="D30" s="65">
        <v>1.92</v>
      </c>
      <c r="E30" s="65" t="s">
        <v>57</v>
      </c>
      <c r="F30" s="60"/>
      <c r="G30" s="59" t="s">
        <v>122</v>
      </c>
      <c r="H30" s="146"/>
      <c r="I30" s="67">
        <f>VLOOKUP(K12,SaturatedSteamPressure, 7,TRUE)</f>
        <v>0.17499999999999999</v>
      </c>
      <c r="J30" s="63" t="s">
        <v>179</v>
      </c>
      <c r="K30" s="63"/>
      <c r="L30" s="67">
        <f>VLOOKUP(K12,SaturatedSteamPressure, 8,TRUE)</f>
        <v>1.92</v>
      </c>
      <c r="M30" s="63" t="s">
        <v>57</v>
      </c>
      <c r="N30" s="63"/>
      <c r="O30" s="63" t="s">
        <v>122</v>
      </c>
    </row>
    <row r="31" spans="1:15" ht="75" customHeight="1" x14ac:dyDescent="0.25">
      <c r="A31" s="226" t="s">
        <v>372</v>
      </c>
      <c r="B31" s="226"/>
      <c r="C31" s="226"/>
      <c r="D31" s="226"/>
      <c r="E31" s="226"/>
      <c r="F31" s="226"/>
      <c r="G31" s="226"/>
      <c r="H31" s="146"/>
      <c r="I31" s="227" t="s">
        <v>372</v>
      </c>
      <c r="J31" s="227"/>
      <c r="K31" s="227"/>
      <c r="L31" s="227"/>
      <c r="M31" s="227"/>
      <c r="N31" s="227"/>
      <c r="O31" s="227"/>
    </row>
    <row r="32" spans="1:15" x14ac:dyDescent="0.25">
      <c r="A32" s="65"/>
      <c r="B32" s="65"/>
      <c r="C32" s="65"/>
      <c r="D32" s="65"/>
      <c r="E32" s="60"/>
      <c r="F32" s="60"/>
      <c r="G32" s="60"/>
      <c r="H32" s="146"/>
      <c r="I32" s="63"/>
      <c r="J32" s="63"/>
      <c r="K32" s="63"/>
      <c r="L32" s="63"/>
      <c r="M32" s="63"/>
      <c r="N32" s="63"/>
      <c r="O32" s="63"/>
    </row>
    <row r="33" spans="1:15" x14ac:dyDescent="0.25">
      <c r="A33" s="65" t="str">
        <f>CONCATENATE("Inlet conditions at ",C10," psia and ",C11," °F (interpolating linearly on Fig. 24-32):")</f>
        <v>Inlet conditions at 600 psia and 750 °F (interpolating linearly on Fig. 24-32):</v>
      </c>
      <c r="B33" s="65"/>
      <c r="C33" s="65"/>
      <c r="D33" s="65"/>
      <c r="E33" s="60"/>
      <c r="F33" s="60"/>
      <c r="G33" s="60"/>
      <c r="H33" s="146"/>
      <c r="I33" s="63" t="str">
        <f>CONCATENATE("Inlet conditions at ",K10," psia and ",K11," °F (interpolating linearly on Fig. 24-32):")</f>
        <v>Inlet conditions at 600 psia and 750 °F (interpolating linearly on Fig. 24-32):</v>
      </c>
      <c r="J33" s="63"/>
      <c r="K33" s="63"/>
      <c r="L33" s="63"/>
      <c r="M33" s="63"/>
      <c r="N33" s="63"/>
      <c r="O33" s="63"/>
    </row>
    <row r="34" spans="1:15" x14ac:dyDescent="0.25">
      <c r="A34" s="68" t="s">
        <v>58</v>
      </c>
      <c r="B34" s="65">
        <v>1.6109</v>
      </c>
      <c r="C34" s="65" t="s">
        <v>57</v>
      </c>
      <c r="D34" s="65"/>
      <c r="E34" s="60"/>
      <c r="F34" s="60"/>
      <c r="G34" s="59" t="s">
        <v>370</v>
      </c>
      <c r="H34" s="146"/>
      <c r="I34" s="148" t="s">
        <v>58</v>
      </c>
      <c r="J34" s="69">
        <v>1.6109</v>
      </c>
      <c r="K34" s="63" t="s">
        <v>57</v>
      </c>
      <c r="L34" s="63"/>
      <c r="M34" s="63"/>
      <c r="N34" s="63"/>
      <c r="O34" s="63" t="s">
        <v>370</v>
      </c>
    </row>
    <row r="35" spans="1:15" x14ac:dyDescent="0.25">
      <c r="A35" s="68" t="s">
        <v>59</v>
      </c>
      <c r="B35" s="70">
        <v>1379.4</v>
      </c>
      <c r="C35" s="65" t="s">
        <v>60</v>
      </c>
      <c r="D35" s="65"/>
      <c r="E35" s="60"/>
      <c r="F35" s="60"/>
      <c r="G35" s="60"/>
      <c r="H35" s="146"/>
      <c r="I35" s="148" t="s">
        <v>59</v>
      </c>
      <c r="J35" s="71">
        <v>1379.4</v>
      </c>
      <c r="K35" s="63" t="s">
        <v>60</v>
      </c>
      <c r="L35" s="63"/>
      <c r="M35" s="63"/>
      <c r="N35" s="63"/>
      <c r="O35" s="63"/>
    </row>
    <row r="36" spans="1:15" x14ac:dyDescent="0.25">
      <c r="A36" s="65" t="str">
        <f>CONCATENATE("Exhaust conditions at ",C12," psia:")</f>
        <v>Exhaust conditions at 2 psia:</v>
      </c>
      <c r="B36" s="65"/>
      <c r="C36" s="65"/>
      <c r="D36" s="65"/>
      <c r="E36" s="60"/>
      <c r="F36" s="60"/>
      <c r="G36" s="60"/>
      <c r="H36" s="146"/>
      <c r="I36" s="63" t="str">
        <f>CONCATENATE("Exhaust conditions at ",K12," psia:")</f>
        <v>Exhaust conditions at 2 psia:</v>
      </c>
      <c r="J36" s="73"/>
      <c r="K36" s="63"/>
      <c r="L36" s="63"/>
      <c r="M36" s="63"/>
      <c r="N36" s="63"/>
      <c r="O36" s="63"/>
    </row>
    <row r="37" spans="1:15" ht="16.5" x14ac:dyDescent="0.3">
      <c r="A37" s="68" t="s">
        <v>406</v>
      </c>
      <c r="B37" s="65">
        <v>0.17499999999999999</v>
      </c>
      <c r="C37" s="65" t="s">
        <v>57</v>
      </c>
      <c r="D37" s="65"/>
      <c r="E37" s="60"/>
      <c r="F37" s="60"/>
      <c r="G37" s="59" t="s">
        <v>122</v>
      </c>
      <c r="H37" s="146"/>
      <c r="I37" s="148" t="s">
        <v>406</v>
      </c>
      <c r="J37" s="67">
        <f>VLOOKUP(K12,SaturatedSteamPressure,7,FALSE)</f>
        <v>0.17499999999999999</v>
      </c>
      <c r="K37" s="63" t="s">
        <v>57</v>
      </c>
      <c r="L37" s="63"/>
      <c r="M37" s="63"/>
      <c r="N37" s="63"/>
      <c r="O37" s="63" t="s">
        <v>122</v>
      </c>
    </row>
    <row r="38" spans="1:15" ht="16.5" x14ac:dyDescent="0.3">
      <c r="A38" s="68" t="s">
        <v>407</v>
      </c>
      <c r="B38" s="65">
        <v>1.92</v>
      </c>
      <c r="C38" s="65" t="s">
        <v>57</v>
      </c>
      <c r="D38" s="65"/>
      <c r="E38" s="60"/>
      <c r="F38" s="60"/>
      <c r="G38" s="60"/>
      <c r="H38" s="146"/>
      <c r="I38" s="148" t="s">
        <v>407</v>
      </c>
      <c r="J38" s="67">
        <f>VLOOKUP(K12,SaturatedSteamPressure,8,FALSE)</f>
        <v>1.92</v>
      </c>
      <c r="K38" s="63" t="s">
        <v>57</v>
      </c>
      <c r="L38" s="63"/>
      <c r="M38" s="63"/>
      <c r="N38" s="63"/>
      <c r="O38" s="63"/>
    </row>
    <row r="39" spans="1:15" ht="16.5" x14ac:dyDescent="0.3">
      <c r="A39" s="68" t="s">
        <v>408</v>
      </c>
      <c r="B39" s="65">
        <v>94.03</v>
      </c>
      <c r="C39" s="65" t="s">
        <v>60</v>
      </c>
      <c r="D39" s="65"/>
      <c r="E39" s="60"/>
      <c r="F39" s="60"/>
      <c r="G39" s="60"/>
      <c r="H39" s="146"/>
      <c r="I39" s="148" t="s">
        <v>408</v>
      </c>
      <c r="J39" s="67">
        <f>VLOOKUP(K12,SaturatedSteamPressure,5,FALSE)</f>
        <v>94.03</v>
      </c>
      <c r="K39" s="63" t="s">
        <v>60</v>
      </c>
      <c r="L39" s="63"/>
      <c r="M39" s="63"/>
      <c r="N39" s="63"/>
      <c r="O39" s="63"/>
    </row>
    <row r="40" spans="1:15" ht="16.5" x14ac:dyDescent="0.3">
      <c r="A40" s="68" t="s">
        <v>409</v>
      </c>
      <c r="B40" s="65">
        <v>1116.2</v>
      </c>
      <c r="C40" s="65" t="s">
        <v>60</v>
      </c>
      <c r="D40" s="65"/>
      <c r="E40" s="60"/>
      <c r="F40" s="60"/>
      <c r="G40" s="60"/>
      <c r="H40" s="146"/>
      <c r="I40" s="148" t="s">
        <v>409</v>
      </c>
      <c r="J40" s="67">
        <f>VLOOKUP(K12,SaturatedSteamPressure,6,FALSE)</f>
        <v>1116.2</v>
      </c>
      <c r="K40" s="63" t="s">
        <v>60</v>
      </c>
      <c r="L40" s="63"/>
      <c r="M40" s="63"/>
      <c r="N40" s="63"/>
      <c r="O40" s="63"/>
    </row>
    <row r="41" spans="1:15" x14ac:dyDescent="0.25">
      <c r="A41" s="65"/>
      <c r="B41" s="65"/>
      <c r="C41" s="65"/>
      <c r="D41" s="65"/>
      <c r="E41" s="60"/>
      <c r="F41" s="60"/>
      <c r="G41" s="60"/>
      <c r="H41" s="146"/>
      <c r="I41" s="63"/>
      <c r="J41" s="63"/>
      <c r="K41" s="63"/>
      <c r="L41" s="63"/>
      <c r="M41" s="63"/>
      <c r="N41" s="63"/>
      <c r="O41" s="63"/>
    </row>
    <row r="42" spans="1:15" x14ac:dyDescent="0.25">
      <c r="A42" s="65" t="s">
        <v>65</v>
      </c>
      <c r="B42" s="65"/>
      <c r="C42" s="65"/>
      <c r="D42" s="65"/>
      <c r="E42" s="60"/>
      <c r="F42" s="60"/>
      <c r="G42" s="60"/>
      <c r="H42" s="146"/>
      <c r="I42" s="63" t="s">
        <v>65</v>
      </c>
      <c r="J42" s="63"/>
      <c r="K42" s="63"/>
      <c r="L42" s="63"/>
      <c r="M42" s="63"/>
      <c r="N42" s="63"/>
      <c r="O42" s="63"/>
    </row>
    <row r="43" spans="1:15" x14ac:dyDescent="0.25">
      <c r="A43" s="65" t="str">
        <f>CONCATENATE(B34," = x (",B37,") + (1 - x)(",B38,")")</f>
        <v>1.6109 = x (0.175) + (1 - x)(1.92)</v>
      </c>
      <c r="B43" s="65"/>
      <c r="C43" s="65"/>
      <c r="D43" s="65"/>
      <c r="E43" s="60"/>
      <c r="F43" s="60"/>
      <c r="G43" s="60"/>
      <c r="H43" s="146"/>
      <c r="I43" s="63" t="str">
        <f>CONCATENATE(J34," = x (",J37,") + (1 - x)(",J38,")")</f>
        <v>1.6109 = x (0.175) + (1 - x)(1.92)</v>
      </c>
      <c r="J43" s="63"/>
      <c r="K43" s="63"/>
      <c r="L43" s="63"/>
      <c r="M43" s="63"/>
      <c r="N43" s="63"/>
      <c r="O43" s="63"/>
    </row>
    <row r="44" spans="1:15" x14ac:dyDescent="0.25">
      <c r="A44" s="68" t="s">
        <v>66</v>
      </c>
      <c r="B44" s="65">
        <f>ROUND((B34-B38)/(B37-B38),4)</f>
        <v>0.17710000000000001</v>
      </c>
      <c r="C44" s="65"/>
      <c r="D44" s="65"/>
      <c r="E44" s="60"/>
      <c r="F44" s="60"/>
      <c r="G44" s="60"/>
      <c r="H44" s="146"/>
      <c r="I44" s="148" t="s">
        <v>66</v>
      </c>
      <c r="J44" s="72">
        <f>((J34-J38)/(J37-J38))</f>
        <v>0.17713467048710599</v>
      </c>
      <c r="K44" s="63"/>
      <c r="L44" s="63"/>
      <c r="M44" s="63"/>
      <c r="N44" s="63"/>
      <c r="O44" s="63"/>
    </row>
    <row r="45" spans="1:15" x14ac:dyDescent="0.25">
      <c r="A45" s="68" t="s">
        <v>67</v>
      </c>
      <c r="B45" s="65">
        <f>1-B44</f>
        <v>0.82289999999999996</v>
      </c>
      <c r="C45" s="65" t="s">
        <v>68</v>
      </c>
      <c r="D45" s="65"/>
      <c r="E45" s="60"/>
      <c r="F45" s="60"/>
      <c r="G45" s="60"/>
      <c r="H45" s="146"/>
      <c r="I45" s="148" t="s">
        <v>67</v>
      </c>
      <c r="J45" s="72">
        <f>1-J44</f>
        <v>0.82286532951289404</v>
      </c>
      <c r="K45" s="63" t="s">
        <v>68</v>
      </c>
      <c r="L45" s="63"/>
      <c r="M45" s="63"/>
      <c r="N45" s="63"/>
      <c r="O45" s="63"/>
    </row>
    <row r="46" spans="1:15" x14ac:dyDescent="0.25">
      <c r="A46" s="65" t="str">
        <f>CONCATENATE("Exhaust enthalpy = (",B44,")(",B39,") + (",B45,")(",B40,")")</f>
        <v>Exhaust enthalpy = (0.1771)(94.03) + (0.8229)(1116.2)</v>
      </c>
      <c r="B46" s="65"/>
      <c r="C46" s="65"/>
      <c r="D46" s="65"/>
      <c r="E46" s="60"/>
      <c r="F46" s="60"/>
      <c r="G46" s="60"/>
      <c r="H46" s="146"/>
      <c r="I46" s="63" t="str">
        <f>CONCATENATE("Exhaust enthalpy = (",ROUND(J44,4),")(",J39,") + (",ROUND(J45,4),")(",J40,")")</f>
        <v>Exhaust enthalpy = (0.1771)(94.03) + (0.8229)(1116.2)</v>
      </c>
      <c r="J46" s="63"/>
      <c r="K46" s="63"/>
      <c r="L46" s="63"/>
      <c r="M46" s="63"/>
      <c r="N46" s="63"/>
      <c r="O46" s="63"/>
    </row>
    <row r="47" spans="1:15" x14ac:dyDescent="0.25">
      <c r="A47" s="68" t="s">
        <v>3</v>
      </c>
      <c r="B47" s="65">
        <f>ROUND(B44*B39+B45*B40,1)</f>
        <v>935.2</v>
      </c>
      <c r="C47" s="65" t="s">
        <v>60</v>
      </c>
      <c r="D47" s="65"/>
      <c r="E47" s="60"/>
      <c r="F47" s="60"/>
      <c r="G47" s="60"/>
      <c r="H47" s="146"/>
      <c r="I47" s="148" t="s">
        <v>3</v>
      </c>
      <c r="J47" s="73">
        <f>(J44*J39+J45*J40)</f>
        <v>935.13825386819497</v>
      </c>
      <c r="K47" s="63" t="s">
        <v>60</v>
      </c>
      <c r="L47" s="63"/>
      <c r="M47" s="63"/>
      <c r="N47" s="63"/>
      <c r="O47" s="63"/>
    </row>
    <row r="48" spans="1:15" x14ac:dyDescent="0.25">
      <c r="A48" s="65" t="str">
        <f>CONCATENATE("Enthalpy change = ",B47," - ",B35)</f>
        <v>Enthalpy change = 935.2 - 1379.4</v>
      </c>
      <c r="B48" s="65"/>
      <c r="C48" s="65"/>
      <c r="D48" s="65"/>
      <c r="E48" s="60"/>
      <c r="F48" s="60"/>
      <c r="G48" s="60"/>
      <c r="H48" s="146"/>
      <c r="I48" s="63" t="str">
        <f>CONCATENATE("Enthalpy change = ",J47," - ",J35)</f>
        <v>Enthalpy change = 935.138253868195 - 1379.4</v>
      </c>
      <c r="J48" s="63"/>
      <c r="K48" s="63"/>
      <c r="L48" s="63"/>
      <c r="M48" s="63"/>
      <c r="N48" s="63"/>
      <c r="O48" s="63"/>
    </row>
    <row r="49" spans="1:15" x14ac:dyDescent="0.25">
      <c r="A49" s="68" t="s">
        <v>3</v>
      </c>
      <c r="B49" s="65">
        <f>ROUND(B47-B35,1)</f>
        <v>-444.2</v>
      </c>
      <c r="C49" s="65" t="s">
        <v>60</v>
      </c>
      <c r="D49" s="65"/>
      <c r="E49" s="60"/>
      <c r="F49" s="60"/>
      <c r="G49" s="60"/>
      <c r="H49" s="146"/>
      <c r="I49" s="148" t="s">
        <v>3</v>
      </c>
      <c r="J49" s="73">
        <f>(J47-J35)</f>
        <v>-444.26174613180513</v>
      </c>
      <c r="K49" s="63" t="s">
        <v>60</v>
      </c>
      <c r="L49" s="63"/>
      <c r="M49" s="63"/>
      <c r="N49" s="63"/>
      <c r="O49" s="63"/>
    </row>
    <row r="50" spans="1:15" x14ac:dyDescent="0.25">
      <c r="A50" s="65"/>
      <c r="B50" s="65"/>
      <c r="C50" s="65"/>
      <c r="D50" s="65"/>
      <c r="E50" s="60"/>
      <c r="F50" s="60"/>
      <c r="G50" s="60"/>
      <c r="H50" s="146"/>
      <c r="I50" s="63"/>
      <c r="J50" s="63"/>
      <c r="K50" s="63"/>
      <c r="L50" s="63"/>
      <c r="M50" s="63"/>
      <c r="N50" s="63"/>
      <c r="O50" s="63"/>
    </row>
    <row r="51" spans="1:15" x14ac:dyDescent="0.25">
      <c r="A51" s="65" t="str">
        <f>CONCATENATE("Substituting Btu = (hp . hr)/2544")</f>
        <v>Substituting Btu = (hp . hr)/2544</v>
      </c>
      <c r="B51" s="65"/>
      <c r="C51" s="65"/>
      <c r="D51" s="65"/>
      <c r="E51" s="60"/>
      <c r="F51" s="60"/>
      <c r="G51" s="60"/>
      <c r="H51" s="146"/>
      <c r="I51" s="63" t="s">
        <v>176</v>
      </c>
      <c r="J51" s="63"/>
      <c r="K51" s="63"/>
      <c r="L51" s="63"/>
      <c r="M51" s="63"/>
      <c r="N51" s="63"/>
      <c r="O51" s="63"/>
    </row>
    <row r="52" spans="1:15" x14ac:dyDescent="0.25">
      <c r="A52" s="65" t="str">
        <f>CONCATENATE("Enthalpy change = (",B49,"/2544) = (-1/",ROUND(-2544/B49,3),")(hp • hr)/lb")</f>
        <v>Enthalpy change = (-444.2/2544) = (-1/5.727)(hp • hr)/lb</v>
      </c>
      <c r="B52" s="65"/>
      <c r="C52" s="65"/>
      <c r="D52" s="65"/>
      <c r="E52" s="60"/>
      <c r="F52" s="60"/>
      <c r="G52" s="60"/>
      <c r="H52" s="146"/>
      <c r="I52" s="63" t="s">
        <v>177</v>
      </c>
      <c r="J52" s="73"/>
      <c r="K52" s="63"/>
      <c r="L52" s="63"/>
      <c r="M52" s="63"/>
      <c r="N52" s="63"/>
      <c r="O52" s="63"/>
    </row>
    <row r="53" spans="1:15" x14ac:dyDescent="0.25">
      <c r="A53" s="65" t="s">
        <v>70</v>
      </c>
      <c r="B53" s="65"/>
      <c r="C53" s="65"/>
      <c r="D53" s="65"/>
      <c r="E53" s="60"/>
      <c r="F53" s="60"/>
      <c r="G53" s="60"/>
      <c r="H53" s="146"/>
      <c r="I53" s="63" t="s">
        <v>70</v>
      </c>
      <c r="J53" s="63"/>
      <c r="K53" s="63"/>
      <c r="L53" s="63"/>
      <c r="M53" s="63"/>
      <c r="N53" s="63"/>
      <c r="O53" s="63"/>
    </row>
    <row r="54" spans="1:15" x14ac:dyDescent="0.25">
      <c r="A54" s="68" t="s">
        <v>3</v>
      </c>
      <c r="B54" s="74">
        <f>ROUND(ABS(2544/B49),3)</f>
        <v>5.7270000000000003</v>
      </c>
      <c r="C54" s="65" t="s">
        <v>71</v>
      </c>
      <c r="D54" s="65"/>
      <c r="E54" s="60"/>
      <c r="F54" s="60"/>
      <c r="G54" s="60"/>
      <c r="H54" s="146"/>
      <c r="I54" s="148" t="s">
        <v>3</v>
      </c>
      <c r="J54" s="75">
        <f>ROUND(ABS(2544/J49),3)</f>
        <v>5.726</v>
      </c>
      <c r="K54" s="63" t="s">
        <v>71</v>
      </c>
      <c r="L54" s="63"/>
      <c r="M54" s="63"/>
      <c r="N54" s="63"/>
      <c r="O54" s="63"/>
    </row>
    <row r="55" spans="1:15" x14ac:dyDescent="0.25">
      <c r="A55" s="68"/>
      <c r="B55" s="65"/>
      <c r="C55" s="65"/>
      <c r="D55" s="65"/>
      <c r="E55" s="60"/>
      <c r="F55" s="60"/>
      <c r="G55" s="60"/>
      <c r="H55" s="146"/>
      <c r="I55" s="63"/>
      <c r="J55" s="63"/>
      <c r="K55" s="63"/>
      <c r="L55" s="63"/>
      <c r="M55" s="63"/>
      <c r="N55" s="63"/>
      <c r="O55" s="63"/>
    </row>
    <row r="56" spans="1:15" x14ac:dyDescent="0.25">
      <c r="A56" s="65" t="s">
        <v>72</v>
      </c>
      <c r="B56" s="65">
        <v>0.72899999999999998</v>
      </c>
      <c r="C56" s="65"/>
      <c r="D56" s="65"/>
      <c r="E56" s="60"/>
      <c r="F56" s="60"/>
      <c r="G56" s="60" t="s">
        <v>358</v>
      </c>
      <c r="H56" s="146"/>
      <c r="I56" s="63" t="s">
        <v>72</v>
      </c>
      <c r="J56" s="69">
        <v>0.72899999999999998</v>
      </c>
      <c r="K56" s="63"/>
      <c r="L56" s="63"/>
      <c r="M56" s="63"/>
      <c r="N56" s="63"/>
      <c r="O56" s="63" t="s">
        <v>358</v>
      </c>
    </row>
    <row r="57" spans="1:15" x14ac:dyDescent="0.25">
      <c r="A57" s="65" t="s">
        <v>143</v>
      </c>
      <c r="B57" s="65"/>
      <c r="C57" s="65">
        <f>+E24</f>
        <v>486.2</v>
      </c>
      <c r="D57" s="65" t="s">
        <v>7</v>
      </c>
      <c r="E57" s="60"/>
      <c r="F57" s="60"/>
      <c r="G57" s="68" t="s">
        <v>373</v>
      </c>
      <c r="H57" s="146"/>
      <c r="I57" s="63" t="s">
        <v>143</v>
      </c>
      <c r="J57" s="63"/>
      <c r="K57" s="63">
        <f>M24</f>
        <v>486.2</v>
      </c>
      <c r="L57" s="63" t="s">
        <v>7</v>
      </c>
      <c r="M57" s="63"/>
      <c r="N57" s="63"/>
      <c r="O57" s="148" t="s">
        <v>373</v>
      </c>
    </row>
    <row r="58" spans="1:15" x14ac:dyDescent="0.25">
      <c r="A58" s="65" t="str">
        <f>CONCATENATE("Inlet superheat = ",C11," - ",C57 &amp;" = ")</f>
        <v xml:space="preserve">Inlet superheat = 750 - 486.2 = </v>
      </c>
      <c r="B58" s="65"/>
      <c r="C58" s="65">
        <f>C11-C57</f>
        <v>263.8</v>
      </c>
      <c r="D58" s="65" t="s">
        <v>7</v>
      </c>
      <c r="E58" s="60"/>
      <c r="F58" s="60"/>
      <c r="G58" s="60"/>
      <c r="H58" s="146"/>
      <c r="I58" s="63" t="str">
        <f>CONCATENATE("Inlet superheat = ",K11," - ",K57&amp;" = ")</f>
        <v xml:space="preserve">Inlet superheat = 750 - 486.2 = </v>
      </c>
      <c r="J58" s="63"/>
      <c r="K58" s="73">
        <f>ROUND(K11-K57,1)</f>
        <v>263.8</v>
      </c>
      <c r="L58" s="63" t="s">
        <v>7</v>
      </c>
      <c r="M58" s="63"/>
      <c r="N58" s="63"/>
      <c r="O58" s="63"/>
    </row>
    <row r="59" spans="1:15" x14ac:dyDescent="0.25">
      <c r="A59" s="65" t="s">
        <v>144</v>
      </c>
      <c r="B59" s="65"/>
      <c r="C59" s="65"/>
      <c r="D59" s="65">
        <v>1.03</v>
      </c>
      <c r="E59" s="60"/>
      <c r="F59" s="60"/>
      <c r="G59" s="60" t="s">
        <v>362</v>
      </c>
      <c r="H59" s="146"/>
      <c r="I59" s="63" t="s">
        <v>144</v>
      </c>
      <c r="J59" s="63"/>
      <c r="K59" s="63"/>
      <c r="L59" s="69">
        <v>1.03</v>
      </c>
      <c r="M59" s="63"/>
      <c r="N59" s="63"/>
      <c r="O59" s="63" t="s">
        <v>362</v>
      </c>
    </row>
    <row r="60" spans="1:15" x14ac:dyDescent="0.25">
      <c r="A60" s="65" t="s">
        <v>145</v>
      </c>
      <c r="B60" s="65"/>
      <c r="C60" s="65"/>
      <c r="D60" s="65">
        <v>0.95699999999999996</v>
      </c>
      <c r="E60" s="60"/>
      <c r="F60" s="60"/>
      <c r="G60" s="60" t="s">
        <v>363</v>
      </c>
      <c r="H60" s="146"/>
      <c r="I60" s="63" t="s">
        <v>145</v>
      </c>
      <c r="J60" s="149"/>
      <c r="K60" s="63"/>
      <c r="L60" s="69">
        <v>0.95699999999999996</v>
      </c>
      <c r="M60" s="63"/>
      <c r="N60" s="63"/>
      <c r="O60" s="63" t="s">
        <v>363</v>
      </c>
    </row>
    <row r="61" spans="1:15" x14ac:dyDescent="0.25">
      <c r="A61" s="65" t="str">
        <f>CONCATENATE("Corrected efficiency = (",B56,")(",D59,")(",D60,") = ")</f>
        <v xml:space="preserve">Corrected efficiency = (0.729)(1.03)(0.957) = </v>
      </c>
      <c r="B61" s="65"/>
      <c r="C61" s="65"/>
      <c r="D61" s="65">
        <f>ROUND(B56*D59*D60,3)</f>
        <v>0.71899999999999997</v>
      </c>
      <c r="E61" s="60"/>
      <c r="F61" s="60"/>
      <c r="G61" s="60"/>
      <c r="H61" s="146"/>
      <c r="I61" s="63" t="str">
        <f>CONCATENATE("Corrected efficiency = (",J56,")(",L59,")(",L60,") = ")</f>
        <v xml:space="preserve">Corrected efficiency = (0.729)(1.03)(0.957) = </v>
      </c>
      <c r="J61" s="63"/>
      <c r="K61" s="63"/>
      <c r="L61" s="76">
        <f>(J56*L59*L60)</f>
        <v>0.71858259000000002</v>
      </c>
      <c r="M61" s="63"/>
      <c r="N61" s="63"/>
      <c r="O61" s="63"/>
    </row>
    <row r="62" spans="1:15" x14ac:dyDescent="0.25">
      <c r="A62" s="65"/>
      <c r="B62" s="65"/>
      <c r="C62" s="65"/>
      <c r="D62" s="65"/>
      <c r="E62" s="60"/>
      <c r="F62" s="60"/>
      <c r="G62" s="60"/>
      <c r="H62" s="146"/>
      <c r="I62" s="63"/>
      <c r="J62" s="63"/>
      <c r="K62" s="63"/>
      <c r="L62" s="63"/>
      <c r="M62" s="63"/>
      <c r="N62" s="63"/>
      <c r="O62" s="63"/>
    </row>
    <row r="63" spans="1:15" x14ac:dyDescent="0.25">
      <c r="A63" s="65" t="str">
        <f>CONCATENATE("ASR = ",B54,"/",D61," = ")</f>
        <v xml:space="preserve">ASR = 5.727/0.719 = </v>
      </c>
      <c r="B63" s="77">
        <f>ROUND(B54/D61,2)</f>
        <v>7.97</v>
      </c>
      <c r="C63" s="78" t="s">
        <v>71</v>
      </c>
      <c r="D63" s="79"/>
      <c r="E63" s="60"/>
      <c r="F63" s="60"/>
      <c r="G63" s="60"/>
      <c r="H63" s="146"/>
      <c r="I63" s="63" t="str">
        <f>CONCATENATE("ASR = ",J54,"/",ROUND(L61,3)," = ")</f>
        <v xml:space="preserve">ASR = 5.726/0.719 = </v>
      </c>
      <c r="J63" s="80">
        <f>(J54/L61)</f>
        <v>7.9684646965911039</v>
      </c>
      <c r="K63" s="150" t="s">
        <v>71</v>
      </c>
      <c r="L63" s="151"/>
      <c r="M63" s="63"/>
      <c r="N63" s="63"/>
      <c r="O63" s="63"/>
    </row>
    <row r="64" spans="1:15" x14ac:dyDescent="0.25">
      <c r="A64" s="65" t="str">
        <f>CONCATENATE("F = (",C13," hp) ",B63," lb/(hp • hr) = ")</f>
        <v xml:space="preserve">F = (6000 hp) 7.97 lb/(hp • hr) = </v>
      </c>
      <c r="B64" s="65"/>
      <c r="C64" s="81">
        <f>ROUND(C13*B63,-2)</f>
        <v>47800</v>
      </c>
      <c r="D64" s="65" t="s">
        <v>146</v>
      </c>
      <c r="E64" s="60"/>
      <c r="F64" s="60"/>
      <c r="G64" s="60"/>
      <c r="H64" s="146"/>
      <c r="I64" s="63" t="str">
        <f>CONCATENATE("F = (",K13," hp) ",ROUND(J63,2)," lb/(hp • hr) = ")</f>
        <v xml:space="preserve">F = (6000 hp) 7.97 lb/(hp • hr) = </v>
      </c>
      <c r="J64" s="63"/>
      <c r="K64" s="82">
        <f>(K13*J63)</f>
        <v>47810.788179546624</v>
      </c>
      <c r="L64" s="63" t="s">
        <v>146</v>
      </c>
      <c r="M64" s="63"/>
      <c r="N64" s="63"/>
      <c r="O64" s="63"/>
    </row>
    <row r="65" spans="1:15" x14ac:dyDescent="0.25">
      <c r="A65" s="65"/>
      <c r="B65" s="65"/>
      <c r="C65" s="65"/>
      <c r="D65" s="65"/>
      <c r="E65" s="60"/>
      <c r="F65" s="60"/>
      <c r="G65" s="60"/>
      <c r="H65" s="146"/>
      <c r="I65" s="63"/>
      <c r="J65" s="63"/>
      <c r="K65" s="63"/>
      <c r="L65" s="63"/>
      <c r="M65" s="63"/>
      <c r="N65" s="63"/>
      <c r="O65" s="63"/>
    </row>
    <row r="66" spans="1:15" x14ac:dyDescent="0.25">
      <c r="A66" s="65" t="s">
        <v>147</v>
      </c>
      <c r="B66" s="65"/>
      <c r="C66" s="65"/>
      <c r="D66" s="65"/>
      <c r="E66" s="60"/>
      <c r="F66" s="60"/>
      <c r="G66" s="60"/>
      <c r="H66" s="146"/>
      <c r="I66" s="63" t="s">
        <v>147</v>
      </c>
      <c r="J66" s="63"/>
      <c r="K66" s="63"/>
      <c r="L66" s="63"/>
      <c r="M66" s="63"/>
      <c r="N66" s="63"/>
      <c r="O66" s="63"/>
    </row>
    <row r="67" spans="1:15" x14ac:dyDescent="0.25">
      <c r="A67" s="65" t="s">
        <v>148</v>
      </c>
      <c r="B67" s="65"/>
      <c r="C67" s="65"/>
      <c r="D67" s="65"/>
      <c r="E67" s="60"/>
      <c r="F67" s="60"/>
      <c r="G67" s="59" t="s">
        <v>374</v>
      </c>
      <c r="H67" s="146"/>
      <c r="I67" s="63" t="s">
        <v>148</v>
      </c>
      <c r="J67" s="63"/>
      <c r="K67" s="63"/>
      <c r="L67" s="63"/>
      <c r="M67" s="63"/>
      <c r="N67" s="63"/>
      <c r="O67" s="63" t="s">
        <v>374</v>
      </c>
    </row>
    <row r="68" spans="1:15" x14ac:dyDescent="0.25">
      <c r="A68" s="65" t="s">
        <v>149</v>
      </c>
      <c r="B68" s="65"/>
      <c r="C68" s="65"/>
      <c r="D68" s="65"/>
      <c r="E68" s="60"/>
      <c r="F68" s="60">
        <v>150</v>
      </c>
      <c r="G68" s="60" t="s">
        <v>150</v>
      </c>
      <c r="H68" s="146"/>
      <c r="I68" s="63" t="s">
        <v>149</v>
      </c>
      <c r="J68" s="63"/>
      <c r="K68" s="63"/>
      <c r="L68" s="63"/>
      <c r="M68" s="63"/>
      <c r="N68" s="63">
        <v>150</v>
      </c>
      <c r="O68" s="63" t="s">
        <v>150</v>
      </c>
    </row>
    <row r="69" spans="1:15" x14ac:dyDescent="0.25">
      <c r="A69" s="68" t="s">
        <v>151</v>
      </c>
      <c r="B69" s="65">
        <v>0.88</v>
      </c>
      <c r="C69" s="65" t="str">
        <f>CONCATENATE("lb/ft3 @ ",C10," psia and ",C11," °F")</f>
        <v>lb/ft3 @ 600 psia and 750 °F</v>
      </c>
      <c r="D69" s="65"/>
      <c r="E69" s="60"/>
      <c r="F69" s="60"/>
      <c r="G69" s="60" t="s">
        <v>122</v>
      </c>
      <c r="H69" s="146"/>
      <c r="I69" s="148" t="s">
        <v>151</v>
      </c>
      <c r="J69" s="67">
        <v>0.88</v>
      </c>
      <c r="K69" s="63" t="str">
        <f>CONCATENATE("lb/ft3 @ ",K10," psia and ",K11," °F")</f>
        <v>lb/ft3 @ 600 psia and 750 °F</v>
      </c>
      <c r="L69" s="63"/>
      <c r="M69" s="63"/>
      <c r="N69" s="63"/>
      <c r="O69" s="63" t="s">
        <v>122</v>
      </c>
    </row>
    <row r="70" spans="1:15" x14ac:dyDescent="0.25">
      <c r="A70" s="68" t="s">
        <v>152</v>
      </c>
      <c r="B70" s="65">
        <f>ROUND(SQRT((0.051*C64)/(B69*150)),1)</f>
        <v>4.3</v>
      </c>
      <c r="C70" s="65" t="s">
        <v>153</v>
      </c>
      <c r="D70" s="65"/>
      <c r="E70" s="60"/>
      <c r="F70" s="60"/>
      <c r="G70" s="60"/>
      <c r="H70" s="146"/>
      <c r="I70" s="148" t="s">
        <v>152</v>
      </c>
      <c r="J70" s="63">
        <f>ROUND(SQRT((0.051*K64)/(J69*150)),1)</f>
        <v>4.3</v>
      </c>
      <c r="K70" s="63" t="s">
        <v>153</v>
      </c>
      <c r="L70" s="63"/>
      <c r="M70" s="63"/>
      <c r="N70" s="63"/>
      <c r="O70" s="63"/>
    </row>
    <row r="71" spans="1:15" x14ac:dyDescent="0.25">
      <c r="A71" s="83" t="s">
        <v>154</v>
      </c>
      <c r="B71" s="78">
        <v>4</v>
      </c>
      <c r="C71" s="78" t="s">
        <v>155</v>
      </c>
      <c r="D71" s="78"/>
      <c r="E71" s="84"/>
      <c r="F71" s="84"/>
      <c r="G71" s="85"/>
      <c r="H71" s="146"/>
      <c r="I71" s="152" t="s">
        <v>154</v>
      </c>
      <c r="J71" s="86">
        <v>4</v>
      </c>
      <c r="K71" s="150" t="s">
        <v>155</v>
      </c>
      <c r="L71" s="150"/>
      <c r="M71" s="150"/>
      <c r="N71" s="150"/>
      <c r="O71" s="151"/>
    </row>
    <row r="72" spans="1:15" x14ac:dyDescent="0.25">
      <c r="A72" s="65"/>
      <c r="B72" s="65"/>
      <c r="C72" s="65"/>
      <c r="D72" s="65"/>
      <c r="E72" s="60"/>
      <c r="F72" s="60"/>
      <c r="G72" s="60"/>
      <c r="H72" s="146"/>
      <c r="I72" s="63"/>
      <c r="J72" s="63"/>
      <c r="K72" s="63"/>
      <c r="L72" s="63"/>
      <c r="M72" s="63"/>
      <c r="N72" s="63"/>
      <c r="O72" s="63"/>
    </row>
    <row r="73" spans="1:15" x14ac:dyDescent="0.25">
      <c r="A73" s="65" t="s">
        <v>156</v>
      </c>
      <c r="B73" s="65"/>
      <c r="C73" s="65"/>
      <c r="D73" s="65"/>
      <c r="E73" s="60"/>
      <c r="F73" s="60">
        <v>450</v>
      </c>
      <c r="G73" s="60" t="s">
        <v>150</v>
      </c>
      <c r="H73" s="146"/>
      <c r="I73" s="63" t="s">
        <v>156</v>
      </c>
      <c r="J73" s="63"/>
      <c r="K73" s="63"/>
      <c r="L73" s="63"/>
      <c r="M73" s="63"/>
      <c r="N73" s="63">
        <v>450</v>
      </c>
      <c r="O73" s="63" t="s">
        <v>150</v>
      </c>
    </row>
    <row r="74" spans="1:15" x14ac:dyDescent="0.25">
      <c r="A74" s="68" t="s">
        <v>157</v>
      </c>
      <c r="B74" s="65">
        <v>5.7000000000000002E-3</v>
      </c>
      <c r="C74" s="65" t="str">
        <f>CONCATENATE("lb/ft3 @ ",C12," psia")</f>
        <v>lb/ft3 @ 2 psia</v>
      </c>
      <c r="D74" s="65"/>
      <c r="E74" s="60"/>
      <c r="F74" s="60"/>
      <c r="G74" s="60" t="s">
        <v>122</v>
      </c>
      <c r="H74" s="146"/>
      <c r="I74" s="148" t="s">
        <v>157</v>
      </c>
      <c r="J74" s="87">
        <f>1/VLOOKUP(K12,SaturatedSteamPressure,4,FALSE)</f>
        <v>5.7550644567219153E-3</v>
      </c>
      <c r="K74" s="63" t="str">
        <f>CONCATENATE("lb/ft3 @ ",K12," psia")</f>
        <v>lb/ft3 @ 2 psia</v>
      </c>
      <c r="L74" s="63"/>
      <c r="M74" s="63"/>
      <c r="N74" s="63"/>
      <c r="O74" s="63" t="s">
        <v>122</v>
      </c>
    </row>
    <row r="75" spans="1:15" x14ac:dyDescent="0.25">
      <c r="A75" s="68" t="s">
        <v>152</v>
      </c>
      <c r="B75" s="65">
        <f>ROUND(SQRT((0.051*C64)/(B74*450)),1)</f>
        <v>30.8</v>
      </c>
      <c r="C75" s="65" t="s">
        <v>153</v>
      </c>
      <c r="D75" s="65"/>
      <c r="E75" s="60"/>
      <c r="F75" s="60"/>
      <c r="G75" s="60"/>
      <c r="H75" s="146"/>
      <c r="I75" s="148" t="s">
        <v>152</v>
      </c>
      <c r="J75" s="73">
        <f>(SQRT((0.051*K64)/(J74*450)))</f>
        <v>30.684332964269821</v>
      </c>
      <c r="K75" s="63" t="s">
        <v>153</v>
      </c>
      <c r="L75" s="63"/>
      <c r="M75" s="63"/>
      <c r="N75" s="63"/>
      <c r="O75" s="63"/>
    </row>
    <row r="76" spans="1:15" x14ac:dyDescent="0.25">
      <c r="A76" s="83" t="s">
        <v>154</v>
      </c>
      <c r="B76" s="78">
        <v>30</v>
      </c>
      <c r="C76" s="78" t="s">
        <v>158</v>
      </c>
      <c r="D76" s="78"/>
      <c r="E76" s="84"/>
      <c r="F76" s="84"/>
      <c r="G76" s="85"/>
      <c r="H76" s="146"/>
      <c r="I76" s="152" t="s">
        <v>154</v>
      </c>
      <c r="J76" s="86">
        <v>30</v>
      </c>
      <c r="K76" s="150" t="s">
        <v>158</v>
      </c>
      <c r="L76" s="150"/>
      <c r="M76" s="150"/>
      <c r="N76" s="150"/>
      <c r="O76" s="151"/>
    </row>
    <row r="77" spans="1:15" x14ac:dyDescent="0.25">
      <c r="A77" s="65"/>
      <c r="B77" s="65"/>
      <c r="C77" s="65"/>
      <c r="D77" s="65"/>
      <c r="E77" s="60"/>
      <c r="F77" s="60"/>
      <c r="G77" s="60"/>
      <c r="H77" s="146"/>
      <c r="I77" s="63"/>
      <c r="J77" s="63"/>
      <c r="K77" s="63"/>
      <c r="L77" s="63"/>
      <c r="M77" s="63"/>
      <c r="N77" s="63"/>
      <c r="O77" s="63"/>
    </row>
    <row r="78" spans="1:15" x14ac:dyDescent="0.25">
      <c r="A78" s="65" t="s">
        <v>375</v>
      </c>
      <c r="B78" s="65"/>
      <c r="C78" s="65"/>
      <c r="D78" s="65"/>
      <c r="E78" s="60"/>
      <c r="F78" s="60"/>
      <c r="G78" s="60"/>
      <c r="H78" s="146"/>
      <c r="I78" s="63" t="s">
        <v>375</v>
      </c>
      <c r="J78" s="63"/>
      <c r="K78" s="63"/>
      <c r="L78" s="63"/>
      <c r="M78" s="63"/>
      <c r="N78" s="63"/>
      <c r="O78" s="63"/>
    </row>
    <row r="79" spans="1:15" x14ac:dyDescent="0.25">
      <c r="A79" s="65" t="str">
        <f>CONCATENATE(C14," RPM indicates that between")</f>
        <v>7000 RPM indicates that between</v>
      </c>
      <c r="B79" s="65"/>
      <c r="C79" s="65">
        <v>1.5</v>
      </c>
      <c r="D79" s="59" t="s">
        <v>159</v>
      </c>
      <c r="E79" s="60">
        <v>2</v>
      </c>
      <c r="F79" s="60" t="s">
        <v>160</v>
      </c>
      <c r="G79" s="60"/>
      <c r="H79" s="146"/>
      <c r="I79" s="63" t="str">
        <f>CONCATENATE(K14," RPM indicates that between")</f>
        <v>7000 RPM indicates that between</v>
      </c>
      <c r="J79" s="63"/>
      <c r="K79" s="69">
        <v>1.5</v>
      </c>
      <c r="L79" s="63" t="s">
        <v>159</v>
      </c>
      <c r="M79" s="66">
        <v>2</v>
      </c>
      <c r="N79" s="63" t="s">
        <v>160</v>
      </c>
      <c r="O79" s="63"/>
    </row>
    <row r="80" spans="1:15" x14ac:dyDescent="0.25">
      <c r="A80" s="65" t="s">
        <v>161</v>
      </c>
      <c r="B80" s="65"/>
      <c r="C80" s="65"/>
      <c r="D80" s="65"/>
      <c r="E80" s="60"/>
      <c r="F80" s="60"/>
      <c r="G80" s="60"/>
      <c r="H80" s="146"/>
      <c r="I80" s="63" t="s">
        <v>161</v>
      </c>
      <c r="J80" s="63"/>
      <c r="K80" s="63"/>
      <c r="L80" s="63"/>
      <c r="M80" s="63"/>
      <c r="N80" s="63"/>
      <c r="O80" s="63"/>
    </row>
    <row r="81" spans="1:15" x14ac:dyDescent="0.25">
      <c r="A81" s="65"/>
      <c r="B81" s="65"/>
      <c r="C81" s="65"/>
      <c r="D81" s="65"/>
      <c r="E81" s="60"/>
      <c r="F81" s="60"/>
      <c r="G81" s="60"/>
      <c r="H81" s="146"/>
      <c r="I81" s="63"/>
      <c r="J81" s="63"/>
      <c r="K81" s="63"/>
      <c r="L81" s="63"/>
      <c r="M81" s="63"/>
      <c r="N81" s="63"/>
      <c r="O81" s="63"/>
    </row>
    <row r="82" spans="1:15" x14ac:dyDescent="0.25">
      <c r="A82" s="65" t="s">
        <v>162</v>
      </c>
      <c r="B82" s="65"/>
      <c r="C82" s="65"/>
      <c r="D82" s="65"/>
      <c r="E82" s="60"/>
      <c r="F82" s="60"/>
      <c r="G82" s="60"/>
      <c r="H82" s="146"/>
      <c r="I82" s="63" t="s">
        <v>162</v>
      </c>
      <c r="J82" s="63"/>
      <c r="K82" s="63"/>
      <c r="L82" s="63"/>
      <c r="M82" s="63"/>
      <c r="N82" s="63"/>
      <c r="O82" s="63"/>
    </row>
    <row r="83" spans="1:15" x14ac:dyDescent="0.25">
      <c r="A83" s="68" t="s">
        <v>3</v>
      </c>
      <c r="B83" s="65">
        <f>-B49</f>
        <v>444.2</v>
      </c>
      <c r="C83" s="65" t="s">
        <v>60</v>
      </c>
      <c r="D83" s="65"/>
      <c r="E83" s="60"/>
      <c r="F83" s="60"/>
      <c r="G83" s="60"/>
      <c r="H83" s="146"/>
      <c r="I83" s="148" t="s">
        <v>3</v>
      </c>
      <c r="J83" s="73">
        <f>-J49</f>
        <v>444.26174613180513</v>
      </c>
      <c r="K83" s="63" t="s">
        <v>60</v>
      </c>
      <c r="L83" s="63"/>
      <c r="M83" s="63"/>
      <c r="N83" s="63"/>
      <c r="O83" s="63"/>
    </row>
    <row r="84" spans="1:15" x14ac:dyDescent="0.25">
      <c r="A84" s="88" t="s">
        <v>163</v>
      </c>
      <c r="B84" s="89"/>
      <c r="C84" s="89"/>
      <c r="D84" s="89"/>
      <c r="E84" s="90"/>
      <c r="F84" s="90"/>
      <c r="G84" s="91"/>
      <c r="H84" s="146"/>
      <c r="I84" s="153" t="s">
        <v>163</v>
      </c>
      <c r="J84" s="154"/>
      <c r="K84" s="154"/>
      <c r="L84" s="154"/>
      <c r="M84" s="154"/>
      <c r="N84" s="154"/>
      <c r="O84" s="155"/>
    </row>
    <row r="85" spans="1:15" x14ac:dyDescent="0.25">
      <c r="A85" s="92" t="s">
        <v>3</v>
      </c>
      <c r="B85" s="65">
        <f>ROUND(C79*B83/100,0)</f>
        <v>7</v>
      </c>
      <c r="C85" s="65" t="s">
        <v>164</v>
      </c>
      <c r="D85" s="65"/>
      <c r="E85" s="60"/>
      <c r="F85" s="60"/>
      <c r="G85" s="93"/>
      <c r="H85" s="146"/>
      <c r="I85" s="156" t="s">
        <v>3</v>
      </c>
      <c r="J85" s="63">
        <f>ROUND(K79*J83/100,0)</f>
        <v>7</v>
      </c>
      <c r="K85" s="63" t="s">
        <v>164</v>
      </c>
      <c r="L85" s="63"/>
      <c r="M85" s="63"/>
      <c r="N85" s="63"/>
      <c r="O85" s="157"/>
    </row>
    <row r="86" spans="1:15" x14ac:dyDescent="0.25">
      <c r="A86" s="94" t="s">
        <v>165</v>
      </c>
      <c r="B86" s="65"/>
      <c r="C86" s="65"/>
      <c r="D86" s="65"/>
      <c r="E86" s="60"/>
      <c r="F86" s="60"/>
      <c r="G86" s="93"/>
      <c r="H86" s="146"/>
      <c r="I86" s="158" t="s">
        <v>165</v>
      </c>
      <c r="J86" s="63"/>
      <c r="K86" s="63"/>
      <c r="L86" s="63"/>
      <c r="M86" s="63"/>
      <c r="N86" s="63"/>
      <c r="O86" s="157"/>
    </row>
    <row r="87" spans="1:15" x14ac:dyDescent="0.25">
      <c r="A87" s="92" t="s">
        <v>3</v>
      </c>
      <c r="B87" s="65">
        <f>ROUND(E79*B83/100,0)</f>
        <v>9</v>
      </c>
      <c r="C87" s="65" t="s">
        <v>164</v>
      </c>
      <c r="D87" s="65"/>
      <c r="E87" s="60"/>
      <c r="F87" s="60"/>
      <c r="G87" s="93"/>
      <c r="H87" s="146"/>
      <c r="I87" s="156" t="s">
        <v>3</v>
      </c>
      <c r="J87" s="63">
        <f>ROUND(M79*J83/100,0)</f>
        <v>9</v>
      </c>
      <c r="K87" s="63" t="s">
        <v>164</v>
      </c>
      <c r="L87" s="63"/>
      <c r="M87" s="63"/>
      <c r="N87" s="63"/>
      <c r="O87" s="157"/>
    </row>
    <row r="88" spans="1:15" x14ac:dyDescent="0.25">
      <c r="A88" s="95" t="s">
        <v>166</v>
      </c>
      <c r="B88" s="96"/>
      <c r="C88" s="96"/>
      <c r="D88" s="96"/>
      <c r="E88" s="97"/>
      <c r="F88" s="97"/>
      <c r="G88" s="98"/>
      <c r="H88" s="146"/>
      <c r="I88" s="159" t="s">
        <v>166</v>
      </c>
      <c r="J88" s="160"/>
      <c r="K88" s="160"/>
      <c r="L88" s="160"/>
      <c r="M88" s="160"/>
      <c r="N88" s="160"/>
      <c r="O88" s="161"/>
    </row>
    <row r="89" spans="1:15" x14ac:dyDescent="0.25">
      <c r="A89" s="65"/>
      <c r="B89" s="65"/>
      <c r="C89" s="65"/>
      <c r="D89" s="65"/>
      <c r="E89" s="60"/>
      <c r="F89" s="60"/>
      <c r="G89" s="60"/>
      <c r="H89" s="146"/>
      <c r="I89" s="63"/>
      <c r="J89" s="63"/>
      <c r="K89" s="63"/>
      <c r="L89" s="63"/>
      <c r="M89" s="63"/>
      <c r="N89" s="63"/>
      <c r="O89" s="63"/>
    </row>
    <row r="90" spans="1:15" x14ac:dyDescent="0.25">
      <c r="A90" s="65" t="str">
        <f>CONCATENATE("At partial load of ", E20, " hp and ", E21, " RPM and assuming ", B85, " stages")</f>
        <v>At partial load of 4000 hp and 6100 RPM and assuming 7 stages</v>
      </c>
      <c r="B90" s="65"/>
      <c r="C90" s="65"/>
      <c r="D90" s="65"/>
      <c r="E90" s="60"/>
      <c r="F90" s="60"/>
      <c r="G90" s="60"/>
      <c r="H90" s="146"/>
      <c r="I90" s="63" t="str">
        <f>CONCATENATE("At partial load of ", M20, " hp and ", M21, " RPM and assuming ", J85, " stages")</f>
        <v>At partial load of 4000 hp and 6100 RPM and assuming 7 stages</v>
      </c>
      <c r="J90" s="63"/>
      <c r="K90" s="63"/>
      <c r="L90" s="63"/>
      <c r="M90" s="63"/>
      <c r="N90" s="63"/>
      <c r="O90" s="63"/>
    </row>
    <row r="91" spans="1:15" x14ac:dyDescent="0.25">
      <c r="A91" s="65" t="s">
        <v>376</v>
      </c>
      <c r="B91" s="65"/>
      <c r="C91" s="65"/>
      <c r="D91" s="65"/>
      <c r="E91" s="60">
        <v>0.96</v>
      </c>
      <c r="F91" s="60" t="s">
        <v>167</v>
      </c>
      <c r="G91" s="60"/>
      <c r="H91" s="146"/>
      <c r="I91" s="63" t="s">
        <v>376</v>
      </c>
      <c r="J91" s="63"/>
      <c r="K91" s="63"/>
      <c r="L91" s="63"/>
      <c r="M91" s="66">
        <v>0.96</v>
      </c>
      <c r="N91" s="63" t="s">
        <v>167</v>
      </c>
      <c r="O91" s="63"/>
    </row>
    <row r="92" spans="1:15" x14ac:dyDescent="0.25">
      <c r="A92" s="65" t="s">
        <v>377</v>
      </c>
      <c r="B92" s="65"/>
      <c r="C92" s="65">
        <f>E20</f>
        <v>4000</v>
      </c>
      <c r="D92" s="65" t="s">
        <v>168</v>
      </c>
      <c r="E92" s="60">
        <f>E21</f>
        <v>6100</v>
      </c>
      <c r="F92" s="60" t="s">
        <v>169</v>
      </c>
      <c r="G92" s="60"/>
      <c r="H92" s="146"/>
      <c r="I92" s="63" t="s">
        <v>377</v>
      </c>
      <c r="J92" s="63"/>
      <c r="K92" s="63">
        <f>M20</f>
        <v>4000</v>
      </c>
      <c r="L92" s="63" t="s">
        <v>168</v>
      </c>
      <c r="M92" s="63">
        <f>M21</f>
        <v>6100</v>
      </c>
      <c r="N92" s="63" t="s">
        <v>169</v>
      </c>
      <c r="O92" s="63"/>
    </row>
    <row r="93" spans="1:15" x14ac:dyDescent="0.25">
      <c r="A93" s="65" t="s">
        <v>170</v>
      </c>
      <c r="B93" s="65">
        <v>0.71</v>
      </c>
      <c r="C93" s="65" t="s">
        <v>127</v>
      </c>
      <c r="D93" s="65"/>
      <c r="E93" s="60"/>
      <c r="F93" s="60"/>
      <c r="G93" s="60"/>
      <c r="H93" s="146"/>
      <c r="I93" s="63" t="s">
        <v>170</v>
      </c>
      <c r="J93" s="69">
        <v>0.71</v>
      </c>
      <c r="K93" s="63" t="s">
        <v>127</v>
      </c>
      <c r="L93" s="63"/>
      <c r="M93" s="63"/>
      <c r="N93" s="63"/>
      <c r="O93" s="63"/>
    </row>
    <row r="94" spans="1:15" x14ac:dyDescent="0.25">
      <c r="A94" s="65"/>
      <c r="B94" s="65"/>
      <c r="C94" s="65"/>
      <c r="D94" s="65"/>
      <c r="E94" s="60"/>
      <c r="F94" s="60"/>
      <c r="G94" s="60"/>
      <c r="H94" s="146"/>
      <c r="I94" s="63"/>
      <c r="J94" s="63"/>
      <c r="K94" s="63"/>
      <c r="L94" s="63"/>
      <c r="M94" s="63"/>
      <c r="N94" s="63"/>
      <c r="O94" s="63"/>
    </row>
    <row r="95" spans="1:15" x14ac:dyDescent="0.25">
      <c r="A95" s="65" t="str">
        <f>CONCATENATE("Efficiency = (",E91,") (",B93,") = ")</f>
        <v xml:space="preserve">Efficiency = (0.96) (0.71) = </v>
      </c>
      <c r="B95" s="65"/>
      <c r="C95" s="65">
        <f>ROUND(E91*B93,2)</f>
        <v>0.68</v>
      </c>
      <c r="D95" s="65"/>
      <c r="E95" s="60"/>
      <c r="F95" s="60"/>
      <c r="G95" s="60"/>
      <c r="H95" s="146"/>
      <c r="I95" s="63" t="str">
        <f>CONCATENATE("Efficiency = (",M91,") (",J93,") = ")</f>
        <v xml:space="preserve">Efficiency = (0.96) (0.71) = </v>
      </c>
      <c r="J95" s="63"/>
      <c r="K95" s="99">
        <f>(M91*J93)</f>
        <v>0.68159999999999998</v>
      </c>
      <c r="L95" s="63"/>
      <c r="M95" s="63"/>
      <c r="N95" s="63"/>
      <c r="O95" s="63"/>
    </row>
    <row r="96" spans="1:15" x14ac:dyDescent="0.25">
      <c r="A96" s="65" t="str">
        <f>CONCATENATE("Actual Steam Rate = ",B54,"/",C95," = ")</f>
        <v xml:space="preserve">Actual Steam Rate = 5.727/0.68 = </v>
      </c>
      <c r="B96" s="65"/>
      <c r="C96" s="88">
        <f>ROUND(B54/C95,2)</f>
        <v>8.42</v>
      </c>
      <c r="D96" s="79" t="s">
        <v>171</v>
      </c>
      <c r="E96" s="60"/>
      <c r="F96" s="60"/>
      <c r="G96" s="60"/>
      <c r="H96" s="146"/>
      <c r="I96" s="63" t="str">
        <f>CONCATENATE("Actual Steam Rate = ",J54,"/",ROUND(K95,2)," = ")</f>
        <v xml:space="preserve">Actual Steam Rate = 5.726/0.68 = </v>
      </c>
      <c r="J96" s="63"/>
      <c r="K96" s="100">
        <f>(J54/K95)</f>
        <v>8.4008215962441319</v>
      </c>
      <c r="L96" s="151" t="s">
        <v>171</v>
      </c>
      <c r="M96" s="63"/>
      <c r="N96" s="63"/>
      <c r="O96" s="63"/>
    </row>
    <row r="97" spans="1:15" x14ac:dyDescent="0.25">
      <c r="A97" s="65" t="str">
        <f>CONCATENATE("F = (",E20,") (",C96,") = ")</f>
        <v xml:space="preserve">F = (4000) (8.42) = </v>
      </c>
      <c r="B97" s="101">
        <f>ROUND(E20*C96,-2)</f>
        <v>33700</v>
      </c>
      <c r="C97" s="79" t="s">
        <v>146</v>
      </c>
      <c r="D97" s="65"/>
      <c r="E97" s="60"/>
      <c r="F97" s="60"/>
      <c r="G97" s="60"/>
      <c r="H97" s="146"/>
      <c r="I97" s="63" t="str">
        <f>CONCATENATE("F = (",M20,") (",ROUND(K96,2),") = ")</f>
        <v xml:space="preserve">F = (4000) (8.4) = </v>
      </c>
      <c r="J97" s="102">
        <f>(M20*K96)</f>
        <v>33603.286384976527</v>
      </c>
      <c r="K97" s="151" t="s">
        <v>146</v>
      </c>
      <c r="L97" s="63"/>
      <c r="M97" s="63"/>
      <c r="N97" s="63"/>
      <c r="O97" s="63"/>
    </row>
    <row r="98" spans="1:15" x14ac:dyDescent="0.25">
      <c r="A98" s="65"/>
      <c r="B98" s="65"/>
      <c r="C98" s="65"/>
      <c r="D98" s="65"/>
      <c r="E98" s="60"/>
      <c r="F98" s="60"/>
      <c r="G98" s="60"/>
      <c r="H98" s="146"/>
      <c r="I98" s="63"/>
      <c r="J98" s="63"/>
      <c r="K98" s="63"/>
      <c r="L98" s="63"/>
      <c r="M98" s="63"/>
      <c r="N98" s="63"/>
      <c r="O98" s="63"/>
    </row>
    <row r="101" spans="1:15" x14ac:dyDescent="0.25">
      <c r="A101" s="162" t="s">
        <v>191</v>
      </c>
    </row>
    <row r="102" spans="1:15" x14ac:dyDescent="0.25">
      <c r="A102" s="162" t="s">
        <v>389</v>
      </c>
    </row>
    <row r="103" spans="1:15" x14ac:dyDescent="0.25">
      <c r="A103" s="162" t="s">
        <v>390</v>
      </c>
    </row>
    <row r="104" spans="1:15" x14ac:dyDescent="0.25">
      <c r="A104" s="162" t="s">
        <v>391</v>
      </c>
    </row>
    <row r="105" spans="1:15" x14ac:dyDescent="0.25">
      <c r="A105" s="143" t="s">
        <v>392</v>
      </c>
    </row>
  </sheetData>
  <sheetProtection password="E156" sheet="1" objects="1" scenarios="1"/>
  <customSheetViews>
    <customSheetView guid="{4F8C502A-1B49-4129-81FD-D7C5FEE19727}" topLeftCell="A5">
      <selection activeCell="D18" sqref="D18"/>
      <pageMargins left="0.75" right="0.75" top="1" bottom="1" header="0.5" footer="0.5"/>
      <pageSetup orientation="portrait" r:id="rId1"/>
      <headerFooter alignWithMargins="0"/>
    </customSheetView>
  </customSheetViews>
  <mergeCells count="10">
    <mergeCell ref="A6:G6"/>
    <mergeCell ref="I6:O6"/>
    <mergeCell ref="A26:G26"/>
    <mergeCell ref="A29:G29"/>
    <mergeCell ref="A31:G31"/>
    <mergeCell ref="I26:O26"/>
    <mergeCell ref="I29:O29"/>
    <mergeCell ref="I31:O31"/>
    <mergeCell ref="A27:G27"/>
    <mergeCell ref="I27:O27"/>
  </mergeCells>
  <phoneticPr fontId="3" type="noConversion"/>
  <pageMargins left="0.75" right="0.75" top="1" bottom="1" header="0.5" footer="0.5"/>
  <pageSetup paperSize="17"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69"/>
  <sheetViews>
    <sheetView zoomScale="80" zoomScaleNormal="80" workbookViewId="0">
      <selection activeCell="G3" sqref="G3"/>
    </sheetView>
  </sheetViews>
  <sheetFormatPr defaultRowHeight="15" x14ac:dyDescent="0.25"/>
  <cols>
    <col min="1" max="1" width="19" style="125" customWidth="1"/>
    <col min="2" max="2" width="10.42578125" style="124" bestFit="1" customWidth="1"/>
    <col min="3" max="3" width="10.5703125" style="124" customWidth="1"/>
    <col min="4" max="5" width="10.5703125" style="125" customWidth="1"/>
    <col min="6" max="6" width="9.140625" style="125"/>
    <col min="7" max="7" width="14.7109375" style="125" customWidth="1"/>
    <col min="8" max="8" width="9.140625" style="125"/>
    <col min="9" max="9" width="19" style="125" customWidth="1"/>
    <col min="10" max="10" width="10.28515625" style="124" customWidth="1"/>
    <col min="11" max="11" width="10.5703125" style="124" customWidth="1"/>
    <col min="12" max="13" width="10.5703125" style="125" customWidth="1"/>
    <col min="14" max="14" width="9.140625" style="125"/>
    <col min="15" max="15" width="18.28515625" style="125" customWidth="1"/>
    <col min="16" max="16384" width="9.140625" style="125"/>
  </cols>
  <sheetData>
    <row r="1" spans="1:15" x14ac:dyDescent="0.25">
      <c r="A1" s="123" t="s">
        <v>384</v>
      </c>
    </row>
    <row r="5" spans="1:15" ht="15" customHeight="1" x14ac:dyDescent="0.25">
      <c r="A5" s="228" t="s">
        <v>101</v>
      </c>
      <c r="B5" s="214"/>
      <c r="C5" s="214"/>
      <c r="D5" s="214"/>
      <c r="E5" s="214"/>
      <c r="F5" s="214"/>
      <c r="G5" s="214"/>
      <c r="I5" s="229" t="s">
        <v>102</v>
      </c>
      <c r="J5" s="201"/>
      <c r="K5" s="201"/>
      <c r="L5" s="201"/>
      <c r="M5" s="201"/>
      <c r="N5" s="201"/>
      <c r="O5" s="201"/>
    </row>
    <row r="6" spans="1:15" x14ac:dyDescent="0.25">
      <c r="A6" s="2"/>
      <c r="B6" s="40"/>
      <c r="C6" s="40"/>
      <c r="D6" s="2"/>
      <c r="E6" s="19"/>
      <c r="F6" s="19"/>
      <c r="G6" s="19"/>
      <c r="I6" s="9"/>
      <c r="J6" s="10"/>
      <c r="K6" s="10"/>
      <c r="L6" s="9"/>
      <c r="M6" s="33"/>
      <c r="N6" s="33"/>
      <c r="O6" s="33"/>
    </row>
    <row r="7" spans="1:15" ht="30" customHeight="1" x14ac:dyDescent="0.25">
      <c r="A7" s="207" t="s">
        <v>73</v>
      </c>
      <c r="B7" s="207"/>
      <c r="C7" s="207"/>
      <c r="D7" s="207"/>
      <c r="E7" s="207"/>
      <c r="F7" s="207"/>
      <c r="G7" s="207"/>
      <c r="I7" s="209" t="s">
        <v>73</v>
      </c>
      <c r="J7" s="209"/>
      <c r="K7" s="209"/>
      <c r="L7" s="209"/>
      <c r="M7" s="209"/>
      <c r="N7" s="209"/>
      <c r="O7" s="209"/>
    </row>
    <row r="8" spans="1:15" x14ac:dyDescent="0.25">
      <c r="A8" s="2"/>
      <c r="B8" s="40"/>
      <c r="C8" s="40"/>
      <c r="D8" s="2"/>
      <c r="E8" s="19"/>
      <c r="F8" s="19"/>
      <c r="G8" s="19"/>
      <c r="I8" s="9"/>
      <c r="J8" s="10"/>
      <c r="K8" s="10"/>
      <c r="L8" s="9"/>
      <c r="M8" s="33"/>
      <c r="N8" s="33"/>
      <c r="O8" s="33"/>
    </row>
    <row r="9" spans="1:15" x14ac:dyDescent="0.25">
      <c r="A9" s="2" t="s">
        <v>47</v>
      </c>
      <c r="B9" s="40" t="s">
        <v>3</v>
      </c>
      <c r="C9" s="40">
        <v>250</v>
      </c>
      <c r="D9" s="2" t="s">
        <v>74</v>
      </c>
      <c r="E9" s="19"/>
      <c r="F9" s="19"/>
      <c r="G9" s="19"/>
      <c r="I9" s="9" t="s">
        <v>47</v>
      </c>
      <c r="J9" s="10" t="s">
        <v>3</v>
      </c>
      <c r="K9" s="48">
        <v>250</v>
      </c>
      <c r="L9" s="9" t="s">
        <v>74</v>
      </c>
      <c r="M9" s="33"/>
      <c r="N9" s="33"/>
      <c r="O9" s="33"/>
    </row>
    <row r="10" spans="1:15" x14ac:dyDescent="0.25">
      <c r="A10" s="2" t="s">
        <v>75</v>
      </c>
      <c r="B10" s="40" t="s">
        <v>3</v>
      </c>
      <c r="C10" s="40">
        <v>100</v>
      </c>
      <c r="D10" s="2" t="s">
        <v>74</v>
      </c>
      <c r="E10" s="19"/>
      <c r="F10" s="19"/>
      <c r="G10" s="19"/>
      <c r="I10" s="9" t="s">
        <v>75</v>
      </c>
      <c r="J10" s="10" t="s">
        <v>3</v>
      </c>
      <c r="K10" s="48">
        <v>100</v>
      </c>
      <c r="L10" s="9" t="s">
        <v>74</v>
      </c>
      <c r="M10" s="33"/>
      <c r="N10" s="33"/>
      <c r="O10" s="33"/>
    </row>
    <row r="11" spans="1:15" x14ac:dyDescent="0.25">
      <c r="A11" s="2" t="s">
        <v>48</v>
      </c>
      <c r="B11" s="40" t="s">
        <v>3</v>
      </c>
      <c r="C11" s="40">
        <v>500</v>
      </c>
      <c r="D11" s="2" t="s">
        <v>7</v>
      </c>
      <c r="E11" s="19"/>
      <c r="F11" s="19"/>
      <c r="G11" s="19"/>
      <c r="I11" s="9" t="s">
        <v>48</v>
      </c>
      <c r="J11" s="10" t="s">
        <v>3</v>
      </c>
      <c r="K11" s="48">
        <v>500</v>
      </c>
      <c r="L11" s="9" t="s">
        <v>7</v>
      </c>
      <c r="M11" s="33"/>
      <c r="N11" s="33"/>
      <c r="O11" s="33"/>
    </row>
    <row r="12" spans="1:15" x14ac:dyDescent="0.25">
      <c r="A12" s="2" t="s">
        <v>76</v>
      </c>
      <c r="B12" s="40" t="s">
        <v>3</v>
      </c>
      <c r="C12" s="40">
        <v>900</v>
      </c>
      <c r="D12" s="2" t="s">
        <v>77</v>
      </c>
      <c r="E12" s="19"/>
      <c r="F12" s="19"/>
      <c r="G12" s="19"/>
      <c r="I12" s="9" t="s">
        <v>76</v>
      </c>
      <c r="J12" s="10" t="s">
        <v>3</v>
      </c>
      <c r="K12" s="48">
        <v>900</v>
      </c>
      <c r="L12" s="9" t="s">
        <v>77</v>
      </c>
      <c r="M12" s="33"/>
      <c r="N12" s="33"/>
      <c r="O12" s="33"/>
    </row>
    <row r="13" spans="1:15" x14ac:dyDescent="0.25">
      <c r="A13" s="2" t="s">
        <v>51</v>
      </c>
      <c r="B13" s="40" t="s">
        <v>3</v>
      </c>
      <c r="C13" s="40">
        <v>5000</v>
      </c>
      <c r="D13" s="2" t="s">
        <v>52</v>
      </c>
      <c r="E13" s="19"/>
      <c r="F13" s="19"/>
      <c r="G13" s="19"/>
      <c r="I13" s="9" t="s">
        <v>51</v>
      </c>
      <c r="J13" s="10" t="s">
        <v>3</v>
      </c>
      <c r="K13" s="48">
        <v>5000</v>
      </c>
      <c r="L13" s="9" t="s">
        <v>52</v>
      </c>
      <c r="M13" s="33"/>
      <c r="N13" s="33"/>
      <c r="O13" s="33"/>
    </row>
    <row r="14" spans="1:15" x14ac:dyDescent="0.25">
      <c r="A14" s="2"/>
      <c r="B14" s="40"/>
      <c r="C14" s="40"/>
      <c r="D14" s="2"/>
      <c r="E14" s="19"/>
      <c r="F14" s="19"/>
      <c r="G14" s="19"/>
      <c r="I14" s="9"/>
      <c r="J14" s="10"/>
      <c r="K14" s="10"/>
      <c r="L14" s="9"/>
      <c r="M14" s="33"/>
      <c r="N14" s="33"/>
      <c r="O14" s="33"/>
    </row>
    <row r="15" spans="1:15" x14ac:dyDescent="0.25">
      <c r="A15" s="2"/>
      <c r="B15" s="40"/>
      <c r="C15" s="16"/>
      <c r="D15" s="2"/>
      <c r="E15" s="19"/>
      <c r="F15" s="19"/>
      <c r="G15" s="19"/>
      <c r="I15" s="9"/>
      <c r="J15" s="10"/>
      <c r="K15" s="36"/>
      <c r="L15" s="9"/>
      <c r="M15" s="33"/>
      <c r="N15" s="33"/>
      <c r="O15" s="33"/>
    </row>
    <row r="16" spans="1:15" x14ac:dyDescent="0.25">
      <c r="A16" s="2" t="s">
        <v>78</v>
      </c>
      <c r="B16" s="40"/>
      <c r="C16" s="40"/>
      <c r="D16" s="2"/>
      <c r="E16" s="19"/>
      <c r="F16" s="19"/>
      <c r="G16" s="19"/>
      <c r="I16" s="163" t="s">
        <v>78</v>
      </c>
      <c r="J16" s="10"/>
      <c r="K16" s="10"/>
      <c r="L16" s="9"/>
      <c r="M16" s="33"/>
      <c r="N16" s="33"/>
      <c r="O16" s="33"/>
    </row>
    <row r="17" spans="1:15" ht="30" customHeight="1" x14ac:dyDescent="0.25">
      <c r="A17" s="207" t="s">
        <v>360</v>
      </c>
      <c r="B17" s="207"/>
      <c r="C17" s="207"/>
      <c r="D17" s="207"/>
      <c r="E17" s="207"/>
      <c r="F17" s="207"/>
      <c r="G17" s="207"/>
      <c r="I17" s="209" t="s">
        <v>360</v>
      </c>
      <c r="J17" s="209"/>
      <c r="K17" s="209"/>
      <c r="L17" s="209"/>
      <c r="M17" s="209"/>
      <c r="N17" s="209"/>
      <c r="O17" s="209"/>
    </row>
    <row r="18" spans="1:15" x14ac:dyDescent="0.25">
      <c r="A18" s="2"/>
      <c r="B18" s="40"/>
      <c r="C18" s="40"/>
      <c r="D18" s="2"/>
      <c r="E18" s="2"/>
      <c r="F18" s="2"/>
      <c r="G18" s="2"/>
      <c r="I18" s="9"/>
      <c r="J18" s="10"/>
      <c r="K18" s="10"/>
      <c r="L18" s="9"/>
      <c r="M18" s="9"/>
      <c r="N18" s="9"/>
      <c r="O18" s="9"/>
    </row>
    <row r="19" spans="1:15" x14ac:dyDescent="0.25">
      <c r="A19" s="2" t="str">
        <f>CONCATENATE("Inlet conditions at ",C9," psig (",C9+14.7," psia) and ",C11," °F (interpolating linearly on Fig. 24-32):")</f>
        <v>Inlet conditions at 250 psig (264.7 psia) and 500 °F (interpolating linearly on Fig. 24-32):</v>
      </c>
      <c r="B19" s="40"/>
      <c r="C19" s="5"/>
      <c r="D19" s="2"/>
      <c r="E19" s="2"/>
      <c r="F19" s="2"/>
      <c r="G19" s="16"/>
      <c r="I19" s="9" t="str">
        <f>CONCATENATE("Inlet conditions at ",K9," psig (",K9+14.7," psia) and ",K11," °F (interpolating linearly on Fig. 24-32):")</f>
        <v>Inlet conditions at 250 psig (264.7 psia) and 500 °F (interpolating linearly on Fig. 24-32):</v>
      </c>
      <c r="J19" s="10"/>
      <c r="K19" s="11"/>
      <c r="L19" s="9"/>
      <c r="M19" s="9"/>
      <c r="N19" s="9"/>
      <c r="O19" s="36"/>
    </row>
    <row r="20" spans="1:15" x14ac:dyDescent="0.25">
      <c r="A20" s="38" t="s">
        <v>58</v>
      </c>
      <c r="B20" s="41">
        <v>1.5872999999999999</v>
      </c>
      <c r="C20" s="41" t="s">
        <v>57</v>
      </c>
      <c r="D20" s="2"/>
      <c r="E20" s="2"/>
      <c r="F20" s="2"/>
      <c r="G20" s="2"/>
      <c r="I20" s="12" t="s">
        <v>58</v>
      </c>
      <c r="J20" s="52">
        <v>1.5872999999999999</v>
      </c>
      <c r="K20" s="18" t="s">
        <v>57</v>
      </c>
      <c r="L20" s="9"/>
      <c r="M20" s="9"/>
      <c r="N20" s="9"/>
      <c r="O20" s="9"/>
    </row>
    <row r="21" spans="1:15" x14ac:dyDescent="0.25">
      <c r="A21" s="38" t="s">
        <v>59</v>
      </c>
      <c r="B21" s="41">
        <v>1261.8</v>
      </c>
      <c r="C21" s="41" t="s">
        <v>60</v>
      </c>
      <c r="D21" s="2"/>
      <c r="E21" s="2"/>
      <c r="F21" s="2"/>
      <c r="G21" s="2"/>
      <c r="I21" s="12" t="s">
        <v>59</v>
      </c>
      <c r="J21" s="52">
        <v>1261.8</v>
      </c>
      <c r="K21" s="18" t="s">
        <v>60</v>
      </c>
      <c r="L21" s="9"/>
      <c r="M21" s="9"/>
      <c r="N21" s="9"/>
      <c r="O21" s="9"/>
    </row>
    <row r="22" spans="1:15" x14ac:dyDescent="0.25">
      <c r="A22" s="2" t="str">
        <f>CONCATENATE("Exhaust conditions at ",C10," psig (",C10+14.7," psia).  From Fig. 24-31 interpolating linearly:")</f>
        <v>Exhaust conditions at 100 psig (114.7 psia).  From Fig. 24-31 interpolating linearly:</v>
      </c>
      <c r="B22" s="40"/>
      <c r="C22" s="40"/>
      <c r="D22" s="2"/>
      <c r="E22" s="2"/>
      <c r="F22" s="2"/>
      <c r="G22" s="2"/>
      <c r="I22" s="9" t="str">
        <f>CONCATENATE("Exhaust conditions at ",K10," psig (",K10+14.7," psia).  From Fig. 24-31 interpolating linearly:")</f>
        <v>Exhaust conditions at 100 psig (114.7 psia).  From Fig. 24-31 interpolating linearly:</v>
      </c>
      <c r="J22" s="10"/>
      <c r="K22" s="10"/>
      <c r="L22" s="9"/>
      <c r="M22" s="9"/>
      <c r="N22" s="9"/>
      <c r="O22" s="9"/>
    </row>
    <row r="23" spans="1:15" ht="16.5" x14ac:dyDescent="0.3">
      <c r="A23" s="38" t="s">
        <v>61</v>
      </c>
      <c r="B23" s="41">
        <v>0.48720000000000002</v>
      </c>
      <c r="C23" s="41" t="s">
        <v>57</v>
      </c>
      <c r="D23" s="2"/>
      <c r="E23" s="2"/>
      <c r="F23" s="40"/>
      <c r="G23" s="21"/>
      <c r="I23" s="12" t="s">
        <v>61</v>
      </c>
      <c r="J23" s="52">
        <v>0.48720000000000002</v>
      </c>
      <c r="K23" s="18" t="s">
        <v>57</v>
      </c>
      <c r="L23" s="9"/>
      <c r="M23" s="9"/>
      <c r="N23" s="10"/>
      <c r="O23" s="37"/>
    </row>
    <row r="24" spans="1:15" ht="16.5" x14ac:dyDescent="0.3">
      <c r="A24" s="38" t="s">
        <v>62</v>
      </c>
      <c r="B24" s="41">
        <v>1.5918000000000001</v>
      </c>
      <c r="C24" s="41" t="s">
        <v>57</v>
      </c>
      <c r="D24" s="2"/>
      <c r="E24" s="2"/>
      <c r="F24" s="40"/>
      <c r="G24" s="21"/>
      <c r="I24" s="12" t="s">
        <v>62</v>
      </c>
      <c r="J24" s="52">
        <v>1.5918000000000001</v>
      </c>
      <c r="K24" s="18" t="s">
        <v>57</v>
      </c>
      <c r="L24" s="9"/>
      <c r="M24" s="9"/>
      <c r="N24" s="10"/>
      <c r="O24" s="37"/>
    </row>
    <row r="25" spans="1:15" ht="16.5" x14ac:dyDescent="0.3">
      <c r="A25" s="38" t="s">
        <v>63</v>
      </c>
      <c r="B25" s="41">
        <v>308.89999999999998</v>
      </c>
      <c r="C25" s="41" t="s">
        <v>60</v>
      </c>
      <c r="D25" s="41"/>
      <c r="E25" s="2"/>
      <c r="F25" s="2"/>
      <c r="G25" s="2"/>
      <c r="I25" s="12" t="s">
        <v>63</v>
      </c>
      <c r="J25" s="52">
        <v>308.89999999999998</v>
      </c>
      <c r="K25" s="18" t="s">
        <v>60</v>
      </c>
      <c r="L25" s="18"/>
      <c r="M25" s="9"/>
      <c r="N25" s="9"/>
      <c r="O25" s="9"/>
    </row>
    <row r="26" spans="1:15" ht="16.5" x14ac:dyDescent="0.3">
      <c r="A26" s="38" t="s">
        <v>64</v>
      </c>
      <c r="B26" s="41">
        <v>1189.5</v>
      </c>
      <c r="C26" s="41" t="s">
        <v>60</v>
      </c>
      <c r="D26" s="41"/>
      <c r="E26" s="41"/>
      <c r="F26" s="40"/>
      <c r="G26" s="22"/>
      <c r="I26" s="12" t="s">
        <v>64</v>
      </c>
      <c r="J26" s="52">
        <v>1189.5</v>
      </c>
      <c r="K26" s="18" t="s">
        <v>60</v>
      </c>
      <c r="L26" s="18"/>
      <c r="M26" s="18"/>
      <c r="N26" s="10"/>
      <c r="O26" s="164"/>
    </row>
    <row r="27" spans="1:15" x14ac:dyDescent="0.25">
      <c r="A27" s="2"/>
      <c r="B27" s="40"/>
      <c r="C27" s="41"/>
      <c r="D27" s="41"/>
      <c r="E27" s="41"/>
      <c r="F27" s="2"/>
      <c r="G27" s="2"/>
      <c r="I27" s="9"/>
      <c r="J27" s="10"/>
      <c r="K27" s="18"/>
      <c r="L27" s="18"/>
      <c r="M27" s="18"/>
      <c r="N27" s="9"/>
      <c r="O27" s="9"/>
    </row>
    <row r="28" spans="1:15" x14ac:dyDescent="0.25">
      <c r="A28" s="2" t="s">
        <v>65</v>
      </c>
      <c r="B28" s="40"/>
      <c r="C28" s="5"/>
      <c r="D28" s="2"/>
      <c r="E28" s="2"/>
      <c r="F28" s="2"/>
      <c r="G28" s="16"/>
      <c r="I28" s="9" t="s">
        <v>65</v>
      </c>
      <c r="J28" s="10"/>
      <c r="K28" s="11"/>
      <c r="L28" s="9"/>
      <c r="M28" s="9"/>
      <c r="N28" s="9"/>
      <c r="O28" s="36"/>
    </row>
    <row r="29" spans="1:15" x14ac:dyDescent="0.25">
      <c r="A29" s="41" t="str">
        <f>CONCATENATE(B20," = x (",B23,") + (1 - x)(",B24,")")</f>
        <v>1.5873 = x (0.4872) + (1 - x)(1.5918)</v>
      </c>
      <c r="B29" s="41"/>
      <c r="C29" s="41"/>
      <c r="D29" s="2"/>
      <c r="E29" s="2"/>
      <c r="F29" s="2"/>
      <c r="G29" s="2"/>
      <c r="I29" s="18" t="str">
        <f>CONCATENATE(J20," = x (",J23,") + (1 - x)(",J24,")")</f>
        <v>1.5873 = x (0.4872) + (1 - x)(1.5918)</v>
      </c>
      <c r="J29" s="18"/>
      <c r="K29" s="18"/>
      <c r="L29" s="9"/>
      <c r="M29" s="9"/>
      <c r="N29" s="9"/>
      <c r="O29" s="9"/>
    </row>
    <row r="30" spans="1:15" x14ac:dyDescent="0.25">
      <c r="A30" s="38" t="s">
        <v>66</v>
      </c>
      <c r="B30" s="23">
        <f>((B20-B24)/(B23-B24))</f>
        <v>4.0738728951658252E-3</v>
      </c>
      <c r="C30" s="41"/>
      <c r="D30" s="2"/>
      <c r="E30" s="2"/>
      <c r="F30" s="2"/>
      <c r="G30" s="2"/>
      <c r="I30" s="12" t="s">
        <v>66</v>
      </c>
      <c r="J30" s="29">
        <f>((J20-J24)/(J23-J24))</f>
        <v>4.0738728951658252E-3</v>
      </c>
      <c r="K30" s="18"/>
      <c r="L30" s="9"/>
      <c r="M30" s="9"/>
      <c r="N30" s="9"/>
      <c r="O30" s="9"/>
    </row>
    <row r="31" spans="1:15" x14ac:dyDescent="0.25">
      <c r="A31" s="38" t="s">
        <v>67</v>
      </c>
      <c r="B31" s="23">
        <f>1-B30</f>
        <v>0.99592612710483419</v>
      </c>
      <c r="C31" s="41" t="s">
        <v>128</v>
      </c>
      <c r="D31" s="2"/>
      <c r="E31" s="2"/>
      <c r="F31" s="2"/>
      <c r="G31" s="2"/>
      <c r="I31" s="12" t="s">
        <v>67</v>
      </c>
      <c r="J31" s="29">
        <f>1-J30</f>
        <v>0.99592612710483419</v>
      </c>
      <c r="K31" s="18" t="s">
        <v>68</v>
      </c>
      <c r="L31" s="9"/>
      <c r="M31" s="9"/>
      <c r="N31" s="9"/>
      <c r="O31" s="9"/>
    </row>
    <row r="32" spans="1:15" x14ac:dyDescent="0.25">
      <c r="A32" s="41" t="str">
        <f>CONCATENATE("Exhaust enthalpy = (",ROUND(B30,4),")(",ROUND(B25,4),") + (",ROUND(B31,4),")(",ROUND(B26,4),")")</f>
        <v>Exhaust enthalpy = (0.0041)(308.9) + (0.9959)(1189.5)</v>
      </c>
      <c r="B32" s="41"/>
      <c r="C32" s="41"/>
      <c r="D32" s="41"/>
      <c r="E32" s="2"/>
      <c r="F32" s="2"/>
      <c r="G32" s="2"/>
      <c r="I32" s="18" t="str">
        <f>CONCATENATE("Exhaust enthalpy = (",ROUND(J30,4),")(",ROUND(J25,4),") + (",ROUND(J31,4),")(",ROUND(J26,4),")")</f>
        <v>Exhaust enthalpy = (0.0041)(308.9) + (0.9959)(1189.5)</v>
      </c>
      <c r="J32" s="18"/>
      <c r="K32" s="18"/>
      <c r="L32" s="18"/>
      <c r="M32" s="9"/>
      <c r="N32" s="9"/>
      <c r="O32" s="9"/>
    </row>
    <row r="33" spans="1:15" x14ac:dyDescent="0.25">
      <c r="A33" s="38" t="s">
        <v>3</v>
      </c>
      <c r="B33" s="24">
        <f>(B30*B25+B31*B26)</f>
        <v>1185.9125475285171</v>
      </c>
      <c r="C33" s="41" t="s">
        <v>60</v>
      </c>
      <c r="D33" s="41"/>
      <c r="E33" s="2"/>
      <c r="F33" s="2"/>
      <c r="G33" s="2"/>
      <c r="I33" s="12" t="s">
        <v>3</v>
      </c>
      <c r="J33" s="30">
        <f>(J30*J25+J31*J26)</f>
        <v>1185.9125475285171</v>
      </c>
      <c r="K33" s="18" t="s">
        <v>60</v>
      </c>
      <c r="L33" s="18"/>
      <c r="M33" s="9"/>
      <c r="N33" s="9"/>
      <c r="O33" s="9"/>
    </row>
    <row r="34" spans="1:15" x14ac:dyDescent="0.25">
      <c r="A34" s="41" t="str">
        <f>CONCATENATE("Enthalpy change = ",ROUND(B33,1)," - ",ROUND(B21,1))</f>
        <v>Enthalpy change = 1185.9 - 1261.8</v>
      </c>
      <c r="B34" s="25"/>
      <c r="C34" s="41"/>
      <c r="D34" s="41"/>
      <c r="E34" s="2"/>
      <c r="F34" s="2"/>
      <c r="G34" s="2"/>
      <c r="I34" s="18" t="str">
        <f>CONCATENATE("Enthalpy change = ",ROUND(J33,1)," - ",ROUND(J21,1))</f>
        <v>Enthalpy change = 1185.9 - 1261.8</v>
      </c>
      <c r="J34" s="31"/>
      <c r="K34" s="18"/>
      <c r="L34" s="18"/>
      <c r="M34" s="9"/>
      <c r="N34" s="9"/>
      <c r="O34" s="9"/>
    </row>
    <row r="35" spans="1:15" x14ac:dyDescent="0.25">
      <c r="A35" s="38" t="s">
        <v>3</v>
      </c>
      <c r="B35" s="24">
        <f>(B33-B21)</f>
        <v>-75.887452471482902</v>
      </c>
      <c r="C35" s="41" t="s">
        <v>60</v>
      </c>
      <c r="D35" s="41"/>
      <c r="E35" s="2"/>
      <c r="F35" s="2"/>
      <c r="G35" s="2"/>
      <c r="I35" s="12" t="s">
        <v>3</v>
      </c>
      <c r="J35" s="30">
        <f>(J33-J21)</f>
        <v>-75.887452471482902</v>
      </c>
      <c r="K35" s="18" t="s">
        <v>60</v>
      </c>
      <c r="L35" s="18"/>
      <c r="M35" s="9"/>
      <c r="N35" s="9"/>
      <c r="O35" s="9"/>
    </row>
    <row r="36" spans="1:15" x14ac:dyDescent="0.25">
      <c r="A36" s="41"/>
      <c r="B36" s="41"/>
      <c r="C36" s="41"/>
      <c r="D36" s="41"/>
      <c r="E36" s="2"/>
      <c r="F36" s="2"/>
      <c r="G36" s="2"/>
      <c r="I36" s="18"/>
      <c r="J36" s="18"/>
      <c r="K36" s="18"/>
      <c r="L36" s="18"/>
      <c r="M36" s="9"/>
      <c r="N36" s="9"/>
      <c r="O36" s="9"/>
    </row>
    <row r="37" spans="1:15" x14ac:dyDescent="0.25">
      <c r="A37" s="41" t="s">
        <v>134</v>
      </c>
      <c r="B37" s="41"/>
      <c r="C37" s="41"/>
      <c r="D37" s="41"/>
      <c r="E37" s="2"/>
      <c r="F37" s="2"/>
      <c r="G37" s="2"/>
      <c r="I37" s="18" t="s">
        <v>69</v>
      </c>
      <c r="J37" s="18"/>
      <c r="K37" s="18"/>
      <c r="L37" s="18"/>
      <c r="M37" s="9"/>
      <c r="N37" s="9"/>
      <c r="O37" s="9"/>
    </row>
    <row r="38" spans="1:15" x14ac:dyDescent="0.25">
      <c r="A38" s="41" t="str">
        <f>CONCATENATE("Enthalpy change = (",ROUND(B35,1),"/2544) = (-1/",ROUND(-2544/B35,1),")(hp • hr)/lb")</f>
        <v>Enthalpy change = (-75.9/2544) = (-1/33.5)(hp • hr)/lb</v>
      </c>
      <c r="B38" s="41"/>
      <c r="C38" s="41"/>
      <c r="D38" s="41"/>
      <c r="E38" s="2"/>
      <c r="F38" s="2"/>
      <c r="G38" s="2"/>
      <c r="I38" s="18" t="str">
        <f>CONCATENATE("Enthalpy change = (",ROUND(J35,1),"/2544) = (-1/",ROUND(-2544/J35,1),")(hp • hr)/lb")</f>
        <v>Enthalpy change = (-75.9/2544) = (-1/33.5)(hp • hr)/lb</v>
      </c>
      <c r="J38" s="18"/>
      <c r="K38" s="18"/>
      <c r="L38" s="18"/>
      <c r="M38" s="9"/>
      <c r="N38" s="9"/>
      <c r="O38" s="9"/>
    </row>
    <row r="39" spans="1:15" x14ac:dyDescent="0.25">
      <c r="A39" s="41" t="s">
        <v>70</v>
      </c>
      <c r="B39" s="41"/>
      <c r="C39" s="41"/>
      <c r="D39" s="41"/>
      <c r="E39" s="2"/>
      <c r="F39" s="2"/>
      <c r="G39" s="2"/>
      <c r="I39" s="18" t="s">
        <v>70</v>
      </c>
      <c r="J39" s="18"/>
      <c r="K39" s="18"/>
      <c r="L39" s="18"/>
      <c r="M39" s="9"/>
      <c r="N39" s="9"/>
      <c r="O39" s="9"/>
    </row>
    <row r="40" spans="1:15" x14ac:dyDescent="0.25">
      <c r="A40" s="38" t="s">
        <v>3</v>
      </c>
      <c r="B40" s="24">
        <f>(ABS(2544/B35))</f>
        <v>33.523328523328516</v>
      </c>
      <c r="C40" s="41" t="s">
        <v>71</v>
      </c>
      <c r="D40" s="41"/>
      <c r="E40" s="2"/>
      <c r="F40" s="2"/>
      <c r="G40" s="2"/>
      <c r="I40" s="12" t="s">
        <v>3</v>
      </c>
      <c r="J40" s="30">
        <f>(ABS(2544/J35))</f>
        <v>33.523328523328516</v>
      </c>
      <c r="K40" s="18" t="s">
        <v>71</v>
      </c>
      <c r="L40" s="18"/>
      <c r="M40" s="9"/>
      <c r="N40" s="9"/>
      <c r="O40" s="9"/>
    </row>
    <row r="41" spans="1:15" x14ac:dyDescent="0.25">
      <c r="A41" s="38"/>
      <c r="B41" s="41"/>
      <c r="C41" s="41"/>
      <c r="D41" s="41"/>
      <c r="E41" s="2"/>
      <c r="F41" s="2"/>
      <c r="G41" s="2"/>
      <c r="I41" s="12"/>
      <c r="J41" s="18"/>
      <c r="K41" s="18"/>
      <c r="L41" s="18"/>
      <c r="M41" s="9"/>
      <c r="N41" s="9"/>
      <c r="O41" s="9"/>
    </row>
    <row r="42" spans="1:15" x14ac:dyDescent="0.25">
      <c r="A42" s="41" t="s">
        <v>72</v>
      </c>
      <c r="B42" s="26">
        <v>0.66</v>
      </c>
      <c r="C42" s="41"/>
      <c r="D42" s="41"/>
      <c r="E42" s="2"/>
      <c r="F42" s="2"/>
      <c r="G42" s="40" t="s">
        <v>358</v>
      </c>
      <c r="I42" s="18" t="s">
        <v>72</v>
      </c>
      <c r="J42" s="53">
        <v>0.66</v>
      </c>
      <c r="K42" s="18"/>
      <c r="L42" s="18"/>
      <c r="M42" s="9"/>
      <c r="N42" s="9"/>
      <c r="O42" s="10" t="s">
        <v>358</v>
      </c>
    </row>
    <row r="43" spans="1:15" x14ac:dyDescent="0.25">
      <c r="A43" s="41" t="s">
        <v>143</v>
      </c>
      <c r="B43" s="41"/>
      <c r="C43" s="41">
        <v>406</v>
      </c>
      <c r="D43" s="41" t="s">
        <v>361</v>
      </c>
      <c r="E43" s="2"/>
      <c r="F43" s="2"/>
      <c r="G43" s="2"/>
      <c r="I43" s="18" t="s">
        <v>143</v>
      </c>
      <c r="J43" s="18"/>
      <c r="K43" s="52">
        <v>406</v>
      </c>
      <c r="L43" s="18" t="s">
        <v>361</v>
      </c>
      <c r="M43" s="9"/>
      <c r="N43" s="9"/>
      <c r="O43" s="9"/>
    </row>
    <row r="44" spans="1:15" x14ac:dyDescent="0.25">
      <c r="A44" s="41" t="str">
        <f>CONCATENATE("Inlet superheat = ",C11," - ",C43," = ",C11-C43," °F")</f>
        <v>Inlet superheat = 500 - 406 = 94 °F</v>
      </c>
      <c r="B44" s="41"/>
      <c r="C44" s="41"/>
      <c r="D44" s="41"/>
      <c r="E44" s="2"/>
      <c r="F44" s="2"/>
      <c r="G44" s="2"/>
      <c r="I44" s="18" t="str">
        <f>CONCATENATE("Inlet superheat = ",K11," - ",K43," = ")</f>
        <v xml:space="preserve">Inlet superheat = 500 - 406 = </v>
      </c>
      <c r="J44" s="18"/>
      <c r="K44" s="18">
        <f>K11-K43</f>
        <v>94</v>
      </c>
      <c r="L44" s="18" t="s">
        <v>7</v>
      </c>
      <c r="M44" s="9"/>
      <c r="N44" s="9"/>
      <c r="O44" s="9"/>
    </row>
    <row r="45" spans="1:15" x14ac:dyDescent="0.25">
      <c r="A45" s="41" t="s">
        <v>144</v>
      </c>
      <c r="B45" s="41"/>
      <c r="C45" s="41"/>
      <c r="D45" s="41">
        <v>0.99</v>
      </c>
      <c r="E45" s="2"/>
      <c r="F45" s="2"/>
      <c r="G45" s="40" t="s">
        <v>362</v>
      </c>
      <c r="I45" s="18" t="s">
        <v>144</v>
      </c>
      <c r="J45" s="18"/>
      <c r="K45" s="18"/>
      <c r="L45" s="52">
        <v>0.99</v>
      </c>
      <c r="M45" s="9"/>
      <c r="N45" s="9"/>
      <c r="O45" s="10" t="s">
        <v>362</v>
      </c>
    </row>
    <row r="46" spans="1:15" x14ac:dyDescent="0.25">
      <c r="A46" s="41" t="s">
        <v>145</v>
      </c>
      <c r="B46" s="41"/>
      <c r="C46" s="41"/>
      <c r="D46" s="41">
        <v>1.01</v>
      </c>
      <c r="E46" s="2"/>
      <c r="F46" s="2"/>
      <c r="G46" s="40" t="s">
        <v>363</v>
      </c>
      <c r="I46" s="18" t="s">
        <v>145</v>
      </c>
      <c r="J46" s="18"/>
      <c r="K46" s="18"/>
      <c r="L46" s="52">
        <v>1.01</v>
      </c>
      <c r="M46" s="9"/>
      <c r="N46" s="9"/>
      <c r="O46" s="10" t="s">
        <v>363</v>
      </c>
    </row>
    <row r="47" spans="1:15" x14ac:dyDescent="0.25">
      <c r="A47" s="2" t="str">
        <f>CONCATENATE("Pressure ratio = (",C10+14.7," psia)/(",C9+14.7," psia) = ",ROUND((C10+14.7)/(C9+14.7),3))</f>
        <v>Pressure ratio = (114.7 psia)/(264.7 psia) = 0.433</v>
      </c>
      <c r="B47" s="40"/>
      <c r="C47" s="40"/>
      <c r="D47" s="2"/>
      <c r="E47" s="2"/>
      <c r="F47" s="2"/>
      <c r="G47" s="2"/>
      <c r="I47" s="9" t="str">
        <f>CONCATENATE("Pressure ratio = (",K10+14.7," psia)/(",K9+14.7," psia) = ")</f>
        <v xml:space="preserve">Pressure ratio = (114.7 psia)/(264.7 psia) = </v>
      </c>
      <c r="J47" s="10"/>
      <c r="K47" s="10"/>
      <c r="L47" s="9">
        <f>ROUND((K10+14.7)/(K9+14.7),3)</f>
        <v>0.433</v>
      </c>
      <c r="M47" s="9"/>
      <c r="N47" s="9"/>
      <c r="O47" s="9"/>
    </row>
    <row r="48" spans="1:15" x14ac:dyDescent="0.25">
      <c r="A48" s="2" t="s">
        <v>172</v>
      </c>
      <c r="B48" s="40"/>
      <c r="C48" s="40"/>
      <c r="D48" s="2">
        <v>0.97</v>
      </c>
      <c r="E48" s="2"/>
      <c r="F48" s="2"/>
      <c r="G48" s="40" t="s">
        <v>364</v>
      </c>
      <c r="I48" s="9" t="s">
        <v>172</v>
      </c>
      <c r="J48" s="10"/>
      <c r="K48" s="10"/>
      <c r="L48" s="42">
        <v>0.97</v>
      </c>
      <c r="M48" s="9"/>
      <c r="N48" s="9"/>
      <c r="O48" s="10" t="s">
        <v>364</v>
      </c>
    </row>
    <row r="49" spans="1:15" x14ac:dyDescent="0.25">
      <c r="A49" s="2"/>
      <c r="B49" s="40"/>
      <c r="C49" s="40"/>
      <c r="D49" s="2"/>
      <c r="E49" s="2"/>
      <c r="F49" s="2"/>
      <c r="G49" s="40"/>
      <c r="I49" s="9"/>
      <c r="J49" s="10"/>
      <c r="K49" s="10"/>
      <c r="L49" s="9"/>
      <c r="M49" s="9"/>
      <c r="N49" s="9"/>
      <c r="O49" s="10"/>
    </row>
    <row r="50" spans="1:15" x14ac:dyDescent="0.25">
      <c r="A50" s="2" t="str">
        <f>CONCATENATE("ASR = [",ROUND(B40,2)," lb/(hp • hr)]/[(",B42,") (",D45,") (",D46,") (",D48,")]")</f>
        <v>ASR = [33.52 lb/(hp • hr)]/[(0.66) (0.99) (1.01) (0.97)]</v>
      </c>
      <c r="B50" s="40"/>
      <c r="C50" s="40"/>
      <c r="D50" s="2"/>
      <c r="E50" s="2"/>
      <c r="F50" s="2"/>
      <c r="G50" s="2"/>
      <c r="I50" s="9" t="str">
        <f>CONCATENATE("ASR = [",ROUND(J40,2)," lb/(hp • hr)]/[(",J42,") (",L45,") (",L46,") (",L48,")]")</f>
        <v>ASR = [33.52 lb/(hp • hr)]/[(0.66) (0.99) (1.01) (0.97)]</v>
      </c>
      <c r="J50" s="10"/>
      <c r="K50" s="10"/>
      <c r="L50" s="9"/>
      <c r="M50" s="9"/>
      <c r="N50" s="9"/>
      <c r="O50" s="9"/>
    </row>
    <row r="51" spans="1:15" x14ac:dyDescent="0.25">
      <c r="A51" s="38" t="s">
        <v>3</v>
      </c>
      <c r="B51" s="7">
        <f>(B40/(B42*D45*D46*D48))</f>
        <v>52.369074026003837</v>
      </c>
      <c r="C51" s="5" t="s">
        <v>71</v>
      </c>
      <c r="D51" s="2"/>
      <c r="E51" s="2"/>
      <c r="F51" s="40"/>
      <c r="G51" s="21"/>
      <c r="I51" s="12" t="s">
        <v>3</v>
      </c>
      <c r="J51" s="13">
        <f>(J40/(J42*L45*L46*L48))</f>
        <v>52.369074026003837</v>
      </c>
      <c r="K51" s="11" t="s">
        <v>71</v>
      </c>
      <c r="L51" s="9"/>
      <c r="M51" s="9"/>
      <c r="N51" s="10"/>
      <c r="O51" s="37"/>
    </row>
    <row r="52" spans="1:15" x14ac:dyDescent="0.25">
      <c r="A52" s="2" t="str">
        <f>CONCATENATE("F = [",ROUND(B51,1)," lb/(hp • hr)] (",C12," hp)")</f>
        <v>F = [52.4 lb/(hp • hr)] (900 hp)</v>
      </c>
      <c r="B52" s="40"/>
      <c r="C52" s="5"/>
      <c r="D52" s="2"/>
      <c r="E52" s="2"/>
      <c r="F52" s="40"/>
      <c r="G52" s="21"/>
      <c r="I52" s="9" t="str">
        <f>CONCATENATE("F = [",ROUND(J51,2)," lb/(hp • hr)] (",K12," hp)")</f>
        <v>F = [52.37 lb/(hp • hr)] (900 hp)</v>
      </c>
      <c r="J52" s="10"/>
      <c r="K52" s="11"/>
      <c r="L52" s="9"/>
      <c r="M52" s="9"/>
      <c r="N52" s="10"/>
      <c r="O52" s="37"/>
    </row>
    <row r="53" spans="1:15" x14ac:dyDescent="0.25">
      <c r="A53" s="38" t="s">
        <v>3</v>
      </c>
      <c r="B53" s="27">
        <f>ROUND(B51*C12,-2)</f>
        <v>47100</v>
      </c>
      <c r="C53" s="5" t="s">
        <v>146</v>
      </c>
      <c r="D53" s="41"/>
      <c r="E53" s="2"/>
      <c r="F53" s="2"/>
      <c r="G53" s="2"/>
      <c r="I53" s="12" t="s">
        <v>3</v>
      </c>
      <c r="J53" s="32">
        <f>(J51*K12)</f>
        <v>47132.166623403456</v>
      </c>
      <c r="K53" s="11" t="s">
        <v>146</v>
      </c>
      <c r="L53" s="18"/>
      <c r="M53" s="9"/>
      <c r="N53" s="9"/>
      <c r="O53" s="9"/>
    </row>
    <row r="54" spans="1:15" x14ac:dyDescent="0.25">
      <c r="A54" s="2"/>
      <c r="B54" s="40"/>
      <c r="C54" s="28"/>
      <c r="D54" s="41"/>
      <c r="E54" s="41"/>
      <c r="F54" s="40"/>
      <c r="G54" s="22"/>
      <c r="I54" s="9"/>
      <c r="J54" s="10"/>
      <c r="K54" s="165"/>
      <c r="L54" s="18"/>
      <c r="M54" s="18"/>
      <c r="N54" s="10"/>
      <c r="O54" s="164"/>
    </row>
    <row r="55" spans="1:15" x14ac:dyDescent="0.25">
      <c r="A55" s="2" t="s">
        <v>173</v>
      </c>
      <c r="B55" s="40"/>
      <c r="C55" s="41"/>
      <c r="D55" s="41"/>
      <c r="E55" s="41"/>
      <c r="F55" s="2"/>
      <c r="G55" s="2"/>
      <c r="I55" s="163" t="s">
        <v>173</v>
      </c>
      <c r="J55" s="10"/>
      <c r="K55" s="18"/>
      <c r="L55" s="18"/>
      <c r="M55" s="18"/>
      <c r="N55" s="9"/>
      <c r="O55" s="9"/>
    </row>
    <row r="56" spans="1:15" x14ac:dyDescent="0.25">
      <c r="A56" s="2" t="s">
        <v>174</v>
      </c>
      <c r="B56" s="40"/>
      <c r="C56" s="41">
        <v>75</v>
      </c>
      <c r="D56" s="5" t="s">
        <v>71</v>
      </c>
      <c r="E56" s="41"/>
      <c r="F56" s="2"/>
      <c r="G56" s="40" t="s">
        <v>365</v>
      </c>
      <c r="I56" s="9" t="s">
        <v>174</v>
      </c>
      <c r="J56" s="10"/>
      <c r="K56" s="52">
        <v>75</v>
      </c>
      <c r="L56" s="11" t="s">
        <v>71</v>
      </c>
      <c r="M56" s="18"/>
      <c r="N56" s="9"/>
      <c r="O56" s="9" t="s">
        <v>365</v>
      </c>
    </row>
    <row r="57" spans="1:15" x14ac:dyDescent="0.25">
      <c r="A57" s="2" t="s">
        <v>175</v>
      </c>
      <c r="B57" s="40"/>
      <c r="C57" s="41">
        <v>0.93</v>
      </c>
      <c r="D57" s="2"/>
      <c r="E57" s="2"/>
      <c r="F57" s="2"/>
      <c r="G57" s="40" t="s">
        <v>366</v>
      </c>
      <c r="I57" s="9" t="s">
        <v>175</v>
      </c>
      <c r="J57" s="10"/>
      <c r="K57" s="52">
        <v>0.93</v>
      </c>
      <c r="L57" s="9"/>
      <c r="M57" s="9"/>
      <c r="N57" s="9"/>
      <c r="O57" s="9" t="s">
        <v>366</v>
      </c>
    </row>
    <row r="58" spans="1:15" x14ac:dyDescent="0.25">
      <c r="A58" s="2" t="str">
        <f>CONCATENATE("ASR = [",C56," lb/(hp • hr)] (",C57,")]")</f>
        <v>ASR = [75 lb/(hp • hr)] (0.93)]</v>
      </c>
      <c r="B58" s="40"/>
      <c r="C58" s="40"/>
      <c r="D58" s="2"/>
      <c r="E58" s="2"/>
      <c r="F58" s="2"/>
      <c r="G58" s="2"/>
      <c r="I58" s="9" t="str">
        <f>CONCATENATE("ASR = [",K56," lb/(hp • hr)] (",K57,")]")</f>
        <v>ASR = [75 lb/(hp • hr)] (0.93)]</v>
      </c>
      <c r="J58" s="10"/>
      <c r="K58" s="10"/>
      <c r="L58" s="9"/>
      <c r="M58" s="9"/>
      <c r="N58" s="9"/>
      <c r="O58" s="9"/>
    </row>
    <row r="59" spans="1:15" x14ac:dyDescent="0.25">
      <c r="A59" s="38" t="s">
        <v>3</v>
      </c>
      <c r="B59" s="57">
        <f>C56*C57</f>
        <v>69.75</v>
      </c>
      <c r="C59" s="56" t="s">
        <v>71</v>
      </c>
      <c r="D59" s="2"/>
      <c r="E59" s="2"/>
      <c r="F59" s="2"/>
      <c r="G59" s="2"/>
      <c r="I59" s="12" t="s">
        <v>3</v>
      </c>
      <c r="J59" s="54">
        <f>(K56*K57)</f>
        <v>69.75</v>
      </c>
      <c r="K59" s="132" t="s">
        <v>71</v>
      </c>
      <c r="L59" s="133"/>
      <c r="M59" s="9"/>
      <c r="N59" s="9"/>
      <c r="O59" s="9"/>
    </row>
    <row r="60" spans="1:15" x14ac:dyDescent="0.25">
      <c r="A60" s="2" t="str">
        <f>CONCATENATE("F = [",ROUND(B59,0)," lb/(hp • hr)] (",C12," hp)")</f>
        <v>F = [70 lb/(hp • hr)] (900 hp)</v>
      </c>
      <c r="B60" s="40"/>
      <c r="C60" s="5"/>
      <c r="D60" s="2"/>
      <c r="E60" s="2"/>
      <c r="F60" s="40"/>
      <c r="G60" s="21"/>
      <c r="I60" s="9" t="str">
        <f>CONCATENATE("F = [",J59," lb/(hp • hr)] (",K12," hp)")</f>
        <v>F = [69.75 lb/(hp • hr)] (900 hp)</v>
      </c>
      <c r="J60" s="10"/>
      <c r="K60" s="11"/>
      <c r="L60" s="9"/>
      <c r="M60" s="9"/>
      <c r="N60" s="10"/>
      <c r="O60" s="37"/>
    </row>
    <row r="61" spans="1:15" x14ac:dyDescent="0.25">
      <c r="A61" s="38" t="s">
        <v>3</v>
      </c>
      <c r="B61" s="55">
        <f>ROUND(B59*C12,-3)</f>
        <v>63000</v>
      </c>
      <c r="C61" s="56" t="s">
        <v>146</v>
      </c>
      <c r="D61" s="2"/>
      <c r="E61" s="2"/>
      <c r="F61" s="40"/>
      <c r="G61" s="21"/>
      <c r="I61" s="12" t="s">
        <v>3</v>
      </c>
      <c r="J61" s="51">
        <f>J59*K12</f>
        <v>62775</v>
      </c>
      <c r="K61" s="134" t="s">
        <v>146</v>
      </c>
      <c r="L61" s="9"/>
      <c r="M61" s="9"/>
      <c r="N61" s="10"/>
      <c r="O61" s="37"/>
    </row>
    <row r="62" spans="1:15" x14ac:dyDescent="0.25">
      <c r="A62" s="2"/>
      <c r="B62" s="40"/>
      <c r="C62" s="40"/>
      <c r="D62" s="41"/>
      <c r="E62" s="2"/>
      <c r="F62" s="2"/>
      <c r="G62" s="2"/>
      <c r="I62" s="9"/>
      <c r="J62" s="10"/>
      <c r="K62" s="10"/>
      <c r="L62" s="18"/>
      <c r="M62" s="9"/>
      <c r="N62" s="9"/>
      <c r="O62" s="9"/>
    </row>
    <row r="65" spans="1:1" x14ac:dyDescent="0.25">
      <c r="A65" s="135" t="s">
        <v>191</v>
      </c>
    </row>
    <row r="66" spans="1:1" x14ac:dyDescent="0.25">
      <c r="A66" s="135" t="s">
        <v>389</v>
      </c>
    </row>
    <row r="67" spans="1:1" x14ac:dyDescent="0.25">
      <c r="A67" s="135" t="s">
        <v>390</v>
      </c>
    </row>
    <row r="68" spans="1:1" x14ac:dyDescent="0.25">
      <c r="A68" s="135" t="s">
        <v>391</v>
      </c>
    </row>
    <row r="69" spans="1:1" x14ac:dyDescent="0.25">
      <c r="A69" s="136" t="s">
        <v>392</v>
      </c>
    </row>
  </sheetData>
  <sheetProtection password="E156" sheet="1" objects="1" scenarios="1"/>
  <customSheetViews>
    <customSheetView guid="{4F8C502A-1B49-4129-81FD-D7C5FEE19727}">
      <selection sqref="A1:G1"/>
      <pageMargins left="0.75" right="0.75" top="1" bottom="1" header="0.5" footer="0.5"/>
      <pageSetup orientation="portrait" r:id="rId1"/>
      <headerFooter alignWithMargins="0"/>
    </customSheetView>
  </customSheetViews>
  <mergeCells count="6">
    <mergeCell ref="A17:G17"/>
    <mergeCell ref="I17:O17"/>
    <mergeCell ref="A5:G5"/>
    <mergeCell ref="I5:O5"/>
    <mergeCell ref="A7:G7"/>
    <mergeCell ref="I7:O7"/>
  </mergeCells>
  <phoneticPr fontId="3" type="noConversion"/>
  <pageMargins left="0.75" right="0.75" top="1" bottom="1" header="0.5" footer="0.5"/>
  <pageSetup paperSize="17"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7"/>
  <sheetViews>
    <sheetView workbookViewId="0">
      <selection activeCell="F8" sqref="F8"/>
    </sheetView>
  </sheetViews>
  <sheetFormatPr defaultRowHeight="12.75" x14ac:dyDescent="0.2"/>
  <cols>
    <col min="1" max="1" width="9.140625" style="105"/>
    <col min="2" max="2" width="20.42578125" style="105" bestFit="1" customWidth="1"/>
    <col min="3" max="3" width="14.5703125" style="105" bestFit="1" customWidth="1"/>
    <col min="4" max="16384" width="9.140625" style="105"/>
  </cols>
  <sheetData>
    <row r="1" spans="1:3" ht="15" x14ac:dyDescent="0.25">
      <c r="A1" s="103" t="s">
        <v>384</v>
      </c>
    </row>
    <row r="6" spans="1:3" x14ac:dyDescent="0.2">
      <c r="A6" s="166" t="s">
        <v>182</v>
      </c>
    </row>
    <row r="7" spans="1:3" x14ac:dyDescent="0.2">
      <c r="B7" s="166" t="s">
        <v>183</v>
      </c>
      <c r="C7" s="166" t="s">
        <v>184</v>
      </c>
    </row>
    <row r="8" spans="1:3" x14ac:dyDescent="0.2">
      <c r="B8" s="166" t="s">
        <v>190</v>
      </c>
      <c r="C8" s="166" t="s">
        <v>185</v>
      </c>
    </row>
    <row r="9" spans="1:3" x14ac:dyDescent="0.2">
      <c r="B9" s="166" t="s">
        <v>186</v>
      </c>
      <c r="C9" s="166" t="s">
        <v>187</v>
      </c>
    </row>
    <row r="10" spans="1:3" x14ac:dyDescent="0.2">
      <c r="B10" s="166" t="s">
        <v>188</v>
      </c>
      <c r="C10" s="166" t="s">
        <v>189</v>
      </c>
    </row>
    <row r="13" spans="1:3" ht="15" x14ac:dyDescent="0.25">
      <c r="A13" s="167" t="s">
        <v>191</v>
      </c>
    </row>
    <row r="14" spans="1:3" ht="15" x14ac:dyDescent="0.25">
      <c r="A14" s="167" t="s">
        <v>389</v>
      </c>
    </row>
    <row r="15" spans="1:3" ht="15" x14ac:dyDescent="0.25">
      <c r="A15" s="167" t="s">
        <v>390</v>
      </c>
    </row>
    <row r="16" spans="1:3" ht="15" x14ac:dyDescent="0.25">
      <c r="A16" s="167" t="s">
        <v>391</v>
      </c>
    </row>
    <row r="17" spans="1:1" ht="15" x14ac:dyDescent="0.25">
      <c r="A17" s="168" t="s">
        <v>392</v>
      </c>
    </row>
  </sheetData>
  <sheetProtection password="E156"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89"/>
  <sheetViews>
    <sheetView workbookViewId="0">
      <selection activeCell="E4" sqref="E4"/>
    </sheetView>
  </sheetViews>
  <sheetFormatPr defaultRowHeight="12.75" x14ac:dyDescent="0.2"/>
  <cols>
    <col min="1" max="1" width="24.140625" style="105" bestFit="1" customWidth="1"/>
    <col min="2" max="2" width="15.7109375" style="105" customWidth="1"/>
    <col min="3" max="3" width="10.7109375" style="105" bestFit="1" customWidth="1"/>
    <col min="4" max="4" width="15.5703125" style="105" customWidth="1"/>
    <col min="5" max="5" width="12.5703125" style="105" customWidth="1"/>
    <col min="6" max="7" width="9.140625" style="105"/>
    <col min="8" max="8" width="15" style="105" customWidth="1"/>
    <col min="9" max="10" width="9.140625" style="105"/>
    <col min="11" max="11" width="12.5703125" style="105" customWidth="1"/>
    <col min="12" max="12" width="13.5703125" style="105" customWidth="1"/>
    <col min="13" max="13" width="15.28515625" style="105" customWidth="1"/>
    <col min="14" max="16384" width="9.140625" style="105"/>
  </cols>
  <sheetData>
    <row r="1" spans="1:15" ht="15" x14ac:dyDescent="0.25">
      <c r="A1" s="103" t="s">
        <v>384</v>
      </c>
    </row>
    <row r="5" spans="1:15" s="170" customFormat="1" ht="40.5" customHeight="1" x14ac:dyDescent="0.25">
      <c r="A5" s="169"/>
      <c r="B5" s="169"/>
      <c r="C5" s="169"/>
      <c r="D5" s="169" t="s">
        <v>199</v>
      </c>
      <c r="E5" s="169" t="s">
        <v>199</v>
      </c>
      <c r="F5" s="169" t="s">
        <v>199</v>
      </c>
      <c r="G5" s="169" t="s">
        <v>199</v>
      </c>
      <c r="H5" s="169" t="s">
        <v>199</v>
      </c>
      <c r="I5" s="230" t="s">
        <v>405</v>
      </c>
      <c r="J5" s="231"/>
      <c r="K5" s="231"/>
      <c r="L5" s="231"/>
      <c r="M5" s="232"/>
      <c r="N5" s="169"/>
      <c r="O5" s="169"/>
    </row>
    <row r="6" spans="1:15" s="170" customFormat="1" ht="45" x14ac:dyDescent="0.25">
      <c r="A6" s="169"/>
      <c r="B6" s="169"/>
      <c r="C6" s="169"/>
      <c r="D6" s="169" t="s">
        <v>199</v>
      </c>
      <c r="E6" s="169" t="s">
        <v>199</v>
      </c>
      <c r="F6" s="169" t="s">
        <v>199</v>
      </c>
      <c r="G6" s="169" t="s">
        <v>199</v>
      </c>
      <c r="H6" s="169" t="s">
        <v>199</v>
      </c>
      <c r="I6" s="171" t="s">
        <v>199</v>
      </c>
      <c r="J6" s="172" t="s">
        <v>277</v>
      </c>
      <c r="K6" s="173" t="s">
        <v>199</v>
      </c>
      <c r="L6" s="174"/>
      <c r="M6" s="175" t="s">
        <v>199</v>
      </c>
      <c r="N6" s="169" t="s">
        <v>199</v>
      </c>
      <c r="O6" s="169" t="s">
        <v>199</v>
      </c>
    </row>
    <row r="7" spans="1:15" s="178" customFormat="1" ht="54" customHeight="1" x14ac:dyDescent="0.2">
      <c r="A7" s="176" t="s">
        <v>278</v>
      </c>
      <c r="B7" s="176" t="s">
        <v>276</v>
      </c>
      <c r="C7" s="177" t="s">
        <v>393</v>
      </c>
      <c r="D7" s="177" t="s">
        <v>394</v>
      </c>
      <c r="E7" s="177" t="s">
        <v>395</v>
      </c>
      <c r="F7" s="177" t="s">
        <v>396</v>
      </c>
      <c r="G7" s="177" t="s">
        <v>397</v>
      </c>
      <c r="H7" s="177" t="s">
        <v>398</v>
      </c>
      <c r="I7" s="177" t="s">
        <v>399</v>
      </c>
      <c r="J7" s="177" t="s">
        <v>400</v>
      </c>
      <c r="K7" s="177" t="s">
        <v>401</v>
      </c>
      <c r="L7" s="176" t="s">
        <v>198</v>
      </c>
      <c r="M7" s="177" t="s">
        <v>402</v>
      </c>
      <c r="N7" s="177" t="s">
        <v>403</v>
      </c>
      <c r="O7" s="177" t="s">
        <v>404</v>
      </c>
    </row>
    <row r="8" spans="1:15" x14ac:dyDescent="0.2">
      <c r="A8" s="179" t="s">
        <v>280</v>
      </c>
      <c r="B8" s="179" t="s">
        <v>200</v>
      </c>
      <c r="C8" s="180" t="s">
        <v>201</v>
      </c>
      <c r="D8" s="181">
        <v>95</v>
      </c>
      <c r="E8" s="181">
        <v>1800</v>
      </c>
      <c r="F8" s="181">
        <v>4</v>
      </c>
      <c r="G8" s="182" t="s">
        <v>202</v>
      </c>
      <c r="H8" s="181">
        <v>7875</v>
      </c>
      <c r="I8" s="181">
        <v>2679</v>
      </c>
      <c r="J8" s="181">
        <v>404</v>
      </c>
      <c r="K8" s="183" t="s">
        <v>203</v>
      </c>
      <c r="L8" s="183"/>
      <c r="M8" s="181">
        <v>316</v>
      </c>
      <c r="N8" s="181">
        <v>7</v>
      </c>
      <c r="O8" s="181">
        <v>1043</v>
      </c>
    </row>
    <row r="9" spans="1:15" x14ac:dyDescent="0.2">
      <c r="A9" s="179" t="s">
        <v>281</v>
      </c>
      <c r="B9" s="179" t="s">
        <v>200</v>
      </c>
      <c r="C9" s="179" t="s">
        <v>204</v>
      </c>
      <c r="D9" s="181">
        <v>145</v>
      </c>
      <c r="E9" s="181">
        <v>1800</v>
      </c>
      <c r="F9" s="181">
        <v>4</v>
      </c>
      <c r="G9" s="182" t="s">
        <v>202</v>
      </c>
      <c r="H9" s="181">
        <v>7775</v>
      </c>
      <c r="I9" s="181">
        <v>2486</v>
      </c>
      <c r="J9" s="181">
        <v>371</v>
      </c>
      <c r="K9" s="183" t="s">
        <v>203</v>
      </c>
      <c r="L9" s="183"/>
      <c r="M9" s="181">
        <v>311</v>
      </c>
      <c r="N9" s="181">
        <v>6.78</v>
      </c>
      <c r="O9" s="181">
        <v>1129</v>
      </c>
    </row>
    <row r="10" spans="1:15" x14ac:dyDescent="0.2">
      <c r="A10" s="179" t="s">
        <v>282</v>
      </c>
      <c r="B10" s="179" t="s">
        <v>200</v>
      </c>
      <c r="C10" s="179" t="s">
        <v>205</v>
      </c>
      <c r="D10" s="181">
        <v>203</v>
      </c>
      <c r="E10" s="181">
        <v>1800</v>
      </c>
      <c r="F10" s="181">
        <v>4</v>
      </c>
      <c r="G10" s="182" t="s">
        <v>202</v>
      </c>
      <c r="H10" s="181">
        <v>8083</v>
      </c>
      <c r="I10" s="181">
        <v>2706</v>
      </c>
      <c r="J10" s="181">
        <v>403</v>
      </c>
      <c r="K10" s="183">
        <v>137</v>
      </c>
      <c r="L10" s="183"/>
      <c r="M10" s="181">
        <v>323</v>
      </c>
      <c r="N10" s="181">
        <v>7</v>
      </c>
      <c r="O10" s="181">
        <v>1068</v>
      </c>
    </row>
    <row r="11" spans="1:15" x14ac:dyDescent="0.2">
      <c r="A11" s="179" t="s">
        <v>283</v>
      </c>
      <c r="B11" s="179" t="s">
        <v>200</v>
      </c>
      <c r="C11" s="179" t="s">
        <v>206</v>
      </c>
      <c r="D11" s="181">
        <v>215</v>
      </c>
      <c r="E11" s="181">
        <v>1800</v>
      </c>
      <c r="F11" s="181">
        <v>4</v>
      </c>
      <c r="G11" s="182" t="s">
        <v>202</v>
      </c>
      <c r="H11" s="181">
        <v>7902</v>
      </c>
      <c r="I11" s="181">
        <v>2567</v>
      </c>
      <c r="J11" s="181">
        <v>406</v>
      </c>
      <c r="K11" s="183" t="s">
        <v>203</v>
      </c>
      <c r="L11" s="184"/>
      <c r="M11" s="181">
        <v>315</v>
      </c>
      <c r="N11" s="181">
        <v>6.71</v>
      </c>
      <c r="O11" s="181">
        <v>1135</v>
      </c>
    </row>
    <row r="12" spans="1:15" x14ac:dyDescent="0.2">
      <c r="A12" s="179" t="s">
        <v>284</v>
      </c>
      <c r="B12" s="179" t="s">
        <v>200</v>
      </c>
      <c r="C12" s="179" t="s">
        <v>207</v>
      </c>
      <c r="D12" s="181">
        <v>276</v>
      </c>
      <c r="E12" s="181">
        <v>1800</v>
      </c>
      <c r="F12" s="181">
        <v>4</v>
      </c>
      <c r="G12" s="182" t="s">
        <v>202</v>
      </c>
      <c r="H12" s="181">
        <v>7418</v>
      </c>
      <c r="I12" s="181">
        <v>2374</v>
      </c>
      <c r="J12" s="181">
        <v>388</v>
      </c>
      <c r="K12" s="183">
        <v>81</v>
      </c>
      <c r="L12" s="183"/>
      <c r="M12" s="181">
        <v>297</v>
      </c>
      <c r="N12" s="181">
        <v>6.53</v>
      </c>
      <c r="O12" s="181">
        <v>1004</v>
      </c>
    </row>
    <row r="13" spans="1:15" x14ac:dyDescent="0.2">
      <c r="A13" s="179" t="s">
        <v>285</v>
      </c>
      <c r="B13" s="179" t="s">
        <v>200</v>
      </c>
      <c r="C13" s="179" t="s">
        <v>208</v>
      </c>
      <c r="D13" s="181">
        <v>255</v>
      </c>
      <c r="E13" s="181">
        <v>1800</v>
      </c>
      <c r="F13" s="181">
        <v>4</v>
      </c>
      <c r="G13" s="182" t="s">
        <v>202</v>
      </c>
      <c r="H13" s="181">
        <v>7643</v>
      </c>
      <c r="I13" s="181">
        <v>2392</v>
      </c>
      <c r="J13" s="181">
        <v>378</v>
      </c>
      <c r="K13" s="183" t="s">
        <v>203</v>
      </c>
      <c r="L13" s="183"/>
      <c r="M13" s="181">
        <v>305</v>
      </c>
      <c r="N13" s="181">
        <v>7.07</v>
      </c>
      <c r="O13" s="181">
        <v>1069</v>
      </c>
    </row>
    <row r="14" spans="1:15" x14ac:dyDescent="0.2">
      <c r="A14" s="179" t="s">
        <v>286</v>
      </c>
      <c r="B14" s="179" t="s">
        <v>200</v>
      </c>
      <c r="C14" s="179" t="s">
        <v>209</v>
      </c>
      <c r="D14" s="181">
        <v>400</v>
      </c>
      <c r="E14" s="181">
        <v>1800</v>
      </c>
      <c r="F14" s="181">
        <v>4</v>
      </c>
      <c r="G14" s="182" t="s">
        <v>202</v>
      </c>
      <c r="H14" s="181">
        <v>7076</v>
      </c>
      <c r="I14" s="181">
        <v>2155</v>
      </c>
      <c r="J14" s="181">
        <v>341</v>
      </c>
      <c r="K14" s="183">
        <v>193</v>
      </c>
      <c r="L14" s="183"/>
      <c r="M14" s="181">
        <v>283</v>
      </c>
      <c r="N14" s="181">
        <v>6.54</v>
      </c>
      <c r="O14" s="181">
        <v>914</v>
      </c>
    </row>
    <row r="15" spans="1:15" x14ac:dyDescent="0.2">
      <c r="A15" s="179" t="s">
        <v>287</v>
      </c>
      <c r="B15" s="179" t="s">
        <v>200</v>
      </c>
      <c r="C15" s="179" t="s">
        <v>210</v>
      </c>
      <c r="D15" s="181">
        <v>400</v>
      </c>
      <c r="E15" s="181">
        <v>1800</v>
      </c>
      <c r="F15" s="181">
        <v>4</v>
      </c>
      <c r="G15" s="182" t="s">
        <v>202</v>
      </c>
      <c r="H15" s="181">
        <v>7431</v>
      </c>
      <c r="I15" s="181">
        <v>2517</v>
      </c>
      <c r="J15" s="181">
        <v>340</v>
      </c>
      <c r="K15" s="183">
        <v>147</v>
      </c>
      <c r="L15" s="183"/>
      <c r="M15" s="181">
        <v>297</v>
      </c>
      <c r="N15" s="181">
        <v>6.26</v>
      </c>
      <c r="O15" s="181">
        <v>942</v>
      </c>
    </row>
    <row r="16" spans="1:15" x14ac:dyDescent="0.2">
      <c r="A16" s="179" t="s">
        <v>288</v>
      </c>
      <c r="B16" s="179" t="s">
        <v>200</v>
      </c>
      <c r="C16" s="179" t="s">
        <v>211</v>
      </c>
      <c r="D16" s="181">
        <v>425</v>
      </c>
      <c r="E16" s="181">
        <v>1800</v>
      </c>
      <c r="F16" s="181">
        <v>4</v>
      </c>
      <c r="G16" s="182" t="s">
        <v>202</v>
      </c>
      <c r="H16" s="181">
        <v>7595</v>
      </c>
      <c r="I16" s="181">
        <v>2108</v>
      </c>
      <c r="J16" s="181">
        <v>333</v>
      </c>
      <c r="K16" s="183">
        <v>402</v>
      </c>
      <c r="L16" s="183"/>
      <c r="M16" s="181">
        <v>310</v>
      </c>
      <c r="N16" s="181">
        <v>9.9600000000000009</v>
      </c>
      <c r="O16" s="181">
        <v>806</v>
      </c>
    </row>
    <row r="17" spans="1:15" x14ac:dyDescent="0.2">
      <c r="A17" s="179" t="s">
        <v>289</v>
      </c>
      <c r="B17" s="179" t="s">
        <v>200</v>
      </c>
      <c r="C17" s="179" t="s">
        <v>212</v>
      </c>
      <c r="D17" s="181">
        <v>600</v>
      </c>
      <c r="E17" s="181">
        <v>1800</v>
      </c>
      <c r="F17" s="181">
        <v>4</v>
      </c>
      <c r="G17" s="182" t="s">
        <v>202</v>
      </c>
      <c r="H17" s="181">
        <v>7280</v>
      </c>
      <c r="I17" s="181">
        <v>2233</v>
      </c>
      <c r="J17" s="181">
        <v>353</v>
      </c>
      <c r="K17" s="183">
        <v>234</v>
      </c>
      <c r="L17" s="183"/>
      <c r="M17" s="181">
        <v>291</v>
      </c>
      <c r="N17" s="181">
        <v>6.6</v>
      </c>
      <c r="O17" s="181">
        <v>950</v>
      </c>
    </row>
    <row r="18" spans="1:15" x14ac:dyDescent="0.2">
      <c r="A18" s="179" t="s">
        <v>290</v>
      </c>
      <c r="B18" s="179" t="s">
        <v>200</v>
      </c>
      <c r="C18" s="179" t="s">
        <v>213</v>
      </c>
      <c r="D18" s="181">
        <v>600</v>
      </c>
      <c r="E18" s="181">
        <v>1800</v>
      </c>
      <c r="F18" s="181">
        <v>4</v>
      </c>
      <c r="G18" s="182" t="s">
        <v>202</v>
      </c>
      <c r="H18" s="181">
        <v>7400</v>
      </c>
      <c r="I18" s="181">
        <v>2313</v>
      </c>
      <c r="J18" s="181">
        <v>349</v>
      </c>
      <c r="K18" s="183">
        <v>190</v>
      </c>
      <c r="L18" s="183"/>
      <c r="M18" s="181">
        <v>296</v>
      </c>
      <c r="N18" s="181">
        <v>6.29</v>
      </c>
      <c r="O18" s="181">
        <v>1010</v>
      </c>
    </row>
    <row r="19" spans="1:15" x14ac:dyDescent="0.2">
      <c r="A19" s="179" t="s">
        <v>291</v>
      </c>
      <c r="B19" s="179" t="s">
        <v>200</v>
      </c>
      <c r="C19" s="179" t="s">
        <v>214</v>
      </c>
      <c r="D19" s="181">
        <v>637</v>
      </c>
      <c r="E19" s="181">
        <v>1800</v>
      </c>
      <c r="F19" s="181">
        <v>4</v>
      </c>
      <c r="G19" s="182" t="s">
        <v>202</v>
      </c>
      <c r="H19" s="181">
        <v>7635</v>
      </c>
      <c r="I19" s="181">
        <v>2179</v>
      </c>
      <c r="J19" s="181">
        <v>344</v>
      </c>
      <c r="K19" s="183">
        <v>435</v>
      </c>
      <c r="L19" s="183"/>
      <c r="M19" s="181">
        <v>311</v>
      </c>
      <c r="N19" s="181">
        <v>9.84</v>
      </c>
      <c r="O19" s="181">
        <v>788</v>
      </c>
    </row>
    <row r="20" spans="1:15" x14ac:dyDescent="0.2">
      <c r="A20" s="179" t="s">
        <v>292</v>
      </c>
      <c r="B20" s="179" t="s">
        <v>200</v>
      </c>
      <c r="C20" s="179" t="s">
        <v>215</v>
      </c>
      <c r="D20" s="181">
        <v>524</v>
      </c>
      <c r="E20" s="181">
        <v>1200</v>
      </c>
      <c r="F20" s="181">
        <v>4</v>
      </c>
      <c r="G20" s="182" t="s">
        <v>202</v>
      </c>
      <c r="H20" s="181">
        <v>7712</v>
      </c>
      <c r="I20" s="181">
        <v>2694</v>
      </c>
      <c r="J20" s="181">
        <v>402</v>
      </c>
      <c r="K20" s="183">
        <v>157</v>
      </c>
      <c r="L20" s="183"/>
      <c r="M20" s="181">
        <v>313</v>
      </c>
      <c r="N20" s="181">
        <v>6.62</v>
      </c>
      <c r="O20" s="181">
        <v>914</v>
      </c>
    </row>
    <row r="21" spans="1:15" x14ac:dyDescent="0.2">
      <c r="A21" s="179" t="s">
        <v>293</v>
      </c>
      <c r="B21" s="179" t="s">
        <v>200</v>
      </c>
      <c r="C21" s="179" t="s">
        <v>216</v>
      </c>
      <c r="D21" s="181">
        <v>670</v>
      </c>
      <c r="E21" s="181">
        <v>1400</v>
      </c>
      <c r="F21" s="181">
        <v>4</v>
      </c>
      <c r="G21" s="182" t="s">
        <v>202</v>
      </c>
      <c r="H21" s="181">
        <v>7510</v>
      </c>
      <c r="I21" s="181">
        <v>1630</v>
      </c>
      <c r="J21" s="181">
        <v>258</v>
      </c>
      <c r="K21" s="183">
        <v>408</v>
      </c>
      <c r="L21" s="183"/>
      <c r="M21" s="181">
        <v>285</v>
      </c>
      <c r="N21" s="181">
        <v>9.6199999999999992</v>
      </c>
      <c r="O21" s="181">
        <v>985</v>
      </c>
    </row>
    <row r="22" spans="1:15" x14ac:dyDescent="0.2">
      <c r="A22" s="179" t="s">
        <v>294</v>
      </c>
      <c r="B22" s="179" t="s">
        <v>200</v>
      </c>
      <c r="C22" s="179" t="s">
        <v>217</v>
      </c>
      <c r="D22" s="181">
        <v>690</v>
      </c>
      <c r="E22" s="181">
        <v>1400</v>
      </c>
      <c r="F22" s="181">
        <v>4</v>
      </c>
      <c r="G22" s="182" t="s">
        <v>202</v>
      </c>
      <c r="H22" s="181">
        <v>7254</v>
      </c>
      <c r="I22" s="181">
        <v>938</v>
      </c>
      <c r="J22" s="181">
        <v>230</v>
      </c>
      <c r="K22" s="183">
        <v>436</v>
      </c>
      <c r="L22" s="183">
        <v>265</v>
      </c>
      <c r="M22" s="181">
        <v>304</v>
      </c>
      <c r="N22" s="181">
        <v>10.62</v>
      </c>
      <c r="O22" s="181">
        <v>931</v>
      </c>
    </row>
    <row r="23" spans="1:15" x14ac:dyDescent="0.2">
      <c r="A23" s="179" t="s">
        <v>295</v>
      </c>
      <c r="B23" s="179" t="s">
        <v>200</v>
      </c>
      <c r="C23" s="179" t="s">
        <v>218</v>
      </c>
      <c r="D23" s="181">
        <v>790</v>
      </c>
      <c r="E23" s="181">
        <v>1200</v>
      </c>
      <c r="F23" s="181">
        <v>4</v>
      </c>
      <c r="G23" s="182" t="s">
        <v>202</v>
      </c>
      <c r="H23" s="181">
        <v>7824</v>
      </c>
      <c r="I23" s="181">
        <v>2812</v>
      </c>
      <c r="J23" s="181">
        <v>445</v>
      </c>
      <c r="K23" s="183">
        <v>2462</v>
      </c>
      <c r="L23" s="183"/>
      <c r="M23" s="181">
        <v>277</v>
      </c>
      <c r="N23" s="181">
        <v>6.58</v>
      </c>
      <c r="O23" s="181">
        <v>892</v>
      </c>
    </row>
    <row r="24" spans="1:15" x14ac:dyDescent="0.2">
      <c r="A24" s="179" t="s">
        <v>296</v>
      </c>
      <c r="B24" s="179" t="s">
        <v>200</v>
      </c>
      <c r="C24" s="179" t="s">
        <v>219</v>
      </c>
      <c r="D24" s="181">
        <v>860</v>
      </c>
      <c r="E24" s="181">
        <v>1200</v>
      </c>
      <c r="F24" s="181">
        <v>4</v>
      </c>
      <c r="G24" s="182" t="s">
        <v>202</v>
      </c>
      <c r="H24" s="181">
        <v>7402</v>
      </c>
      <c r="I24" s="181">
        <v>1933</v>
      </c>
      <c r="J24" s="181">
        <v>288</v>
      </c>
      <c r="K24" s="183">
        <v>6551</v>
      </c>
      <c r="L24" s="183"/>
      <c r="M24" s="181">
        <v>254</v>
      </c>
      <c r="N24" s="181">
        <v>9.92</v>
      </c>
      <c r="O24" s="181">
        <v>823</v>
      </c>
    </row>
    <row r="25" spans="1:15" x14ac:dyDescent="0.2">
      <c r="A25" s="179" t="s">
        <v>296</v>
      </c>
      <c r="B25" s="179" t="s">
        <v>200</v>
      </c>
      <c r="C25" s="179" t="s">
        <v>219</v>
      </c>
      <c r="D25" s="181">
        <v>1004</v>
      </c>
      <c r="E25" s="181">
        <v>1400</v>
      </c>
      <c r="F25" s="181">
        <v>4</v>
      </c>
      <c r="G25" s="182" t="s">
        <v>202</v>
      </c>
      <c r="H25" s="181">
        <v>7368</v>
      </c>
      <c r="I25" s="181">
        <v>1840</v>
      </c>
      <c r="J25" s="181">
        <v>274</v>
      </c>
      <c r="K25" s="183">
        <v>8260</v>
      </c>
      <c r="L25" s="183"/>
      <c r="M25" s="181">
        <v>254</v>
      </c>
      <c r="N25" s="181">
        <v>9.9700000000000006</v>
      </c>
      <c r="O25" s="181">
        <v>834</v>
      </c>
    </row>
    <row r="26" spans="1:15" x14ac:dyDescent="0.2">
      <c r="A26" s="179" t="s">
        <v>297</v>
      </c>
      <c r="B26" s="179" t="s">
        <v>200</v>
      </c>
      <c r="C26" s="179" t="s">
        <v>220</v>
      </c>
      <c r="D26" s="181">
        <v>1035</v>
      </c>
      <c r="E26" s="181">
        <v>1400</v>
      </c>
      <c r="F26" s="181">
        <v>4</v>
      </c>
      <c r="G26" s="182" t="s">
        <v>202</v>
      </c>
      <c r="H26" s="181">
        <v>7237</v>
      </c>
      <c r="I26" s="181">
        <v>1008</v>
      </c>
      <c r="J26" s="181">
        <v>230</v>
      </c>
      <c r="K26" s="183">
        <v>371</v>
      </c>
      <c r="L26" s="183">
        <v>246</v>
      </c>
      <c r="M26" s="181">
        <v>270</v>
      </c>
      <c r="N26" s="181">
        <v>10.39</v>
      </c>
      <c r="O26" s="181">
        <v>975</v>
      </c>
    </row>
    <row r="27" spans="1:15" x14ac:dyDescent="0.2">
      <c r="A27" s="179" t="s">
        <v>298</v>
      </c>
      <c r="B27" s="179" t="s">
        <v>200</v>
      </c>
      <c r="C27" s="179" t="s">
        <v>221</v>
      </c>
      <c r="D27" s="181">
        <v>1050</v>
      </c>
      <c r="E27" s="181">
        <v>1200</v>
      </c>
      <c r="F27" s="181">
        <v>4</v>
      </c>
      <c r="G27" s="182" t="s">
        <v>202</v>
      </c>
      <c r="H27" s="181">
        <v>7700</v>
      </c>
      <c r="I27" s="181">
        <v>2789</v>
      </c>
      <c r="J27" s="181">
        <v>441</v>
      </c>
      <c r="K27" s="183">
        <v>2979</v>
      </c>
      <c r="L27" s="183"/>
      <c r="M27" s="181">
        <v>260</v>
      </c>
      <c r="N27" s="181">
        <v>6.16</v>
      </c>
      <c r="O27" s="181">
        <v>912</v>
      </c>
    </row>
    <row r="28" spans="1:15" x14ac:dyDescent="0.2">
      <c r="A28" s="179" t="s">
        <v>299</v>
      </c>
      <c r="B28" s="179" t="s">
        <v>200</v>
      </c>
      <c r="C28" s="179" t="s">
        <v>222</v>
      </c>
      <c r="D28" s="181">
        <v>1150</v>
      </c>
      <c r="E28" s="181">
        <v>1200</v>
      </c>
      <c r="F28" s="181">
        <v>4</v>
      </c>
      <c r="G28" s="182" t="s">
        <v>202</v>
      </c>
      <c r="H28" s="181">
        <v>7324</v>
      </c>
      <c r="I28" s="181">
        <v>1896</v>
      </c>
      <c r="J28" s="181">
        <v>283</v>
      </c>
      <c r="K28" s="183">
        <v>7509</v>
      </c>
      <c r="L28" s="183"/>
      <c r="M28" s="181">
        <v>238</v>
      </c>
      <c r="N28" s="181">
        <v>9.83</v>
      </c>
      <c r="O28" s="181">
        <v>846</v>
      </c>
    </row>
    <row r="29" spans="1:15" x14ac:dyDescent="0.2">
      <c r="A29" s="179" t="s">
        <v>299</v>
      </c>
      <c r="B29" s="179" t="s">
        <v>200</v>
      </c>
      <c r="C29" s="179" t="s">
        <v>222</v>
      </c>
      <c r="D29" s="181">
        <v>1340</v>
      </c>
      <c r="E29" s="181">
        <v>1400</v>
      </c>
      <c r="F29" s="181">
        <v>4</v>
      </c>
      <c r="G29" s="182" t="s">
        <v>202</v>
      </c>
      <c r="H29" s="181">
        <v>7405</v>
      </c>
      <c r="I29" s="181">
        <v>1886</v>
      </c>
      <c r="J29" s="181">
        <v>281</v>
      </c>
      <c r="K29" s="183">
        <v>9547</v>
      </c>
      <c r="L29" s="183"/>
      <c r="M29" s="181">
        <v>238</v>
      </c>
      <c r="N29" s="181">
        <v>9.8000000000000007</v>
      </c>
      <c r="O29" s="181">
        <v>873</v>
      </c>
    </row>
    <row r="30" spans="1:15" x14ac:dyDescent="0.2">
      <c r="A30" s="179" t="s">
        <v>300</v>
      </c>
      <c r="B30" s="179" t="s">
        <v>200</v>
      </c>
      <c r="C30" s="179" t="s">
        <v>223</v>
      </c>
      <c r="D30" s="181">
        <v>1380</v>
      </c>
      <c r="E30" s="181">
        <v>1400</v>
      </c>
      <c r="F30" s="181">
        <v>4</v>
      </c>
      <c r="G30" s="182" t="s">
        <v>202</v>
      </c>
      <c r="H30" s="181">
        <v>7301</v>
      </c>
      <c r="I30" s="181">
        <v>1018</v>
      </c>
      <c r="J30" s="181">
        <v>195</v>
      </c>
      <c r="K30" s="183">
        <v>437</v>
      </c>
      <c r="L30" s="183">
        <v>233</v>
      </c>
      <c r="M30" s="181">
        <v>266</v>
      </c>
      <c r="N30" s="181">
        <v>10.42</v>
      </c>
      <c r="O30" s="181">
        <v>992</v>
      </c>
    </row>
    <row r="31" spans="1:15" x14ac:dyDescent="0.2">
      <c r="A31" s="179" t="s">
        <v>301</v>
      </c>
      <c r="B31" s="179" t="s">
        <v>200</v>
      </c>
      <c r="C31" s="179" t="s">
        <v>224</v>
      </c>
      <c r="D31" s="181">
        <v>1480</v>
      </c>
      <c r="E31" s="181">
        <v>1200</v>
      </c>
      <c r="F31" s="181">
        <v>4</v>
      </c>
      <c r="G31" s="182" t="s">
        <v>202</v>
      </c>
      <c r="H31" s="181">
        <v>7110</v>
      </c>
      <c r="I31" s="181">
        <v>834</v>
      </c>
      <c r="J31" s="181">
        <v>195</v>
      </c>
      <c r="K31" s="183">
        <v>447</v>
      </c>
      <c r="L31" s="183">
        <v>280</v>
      </c>
      <c r="M31" s="181">
        <v>255</v>
      </c>
      <c r="N31" s="181">
        <v>10.46</v>
      </c>
      <c r="O31" s="181">
        <v>964</v>
      </c>
    </row>
    <row r="32" spans="1:15" x14ac:dyDescent="0.2">
      <c r="A32" s="179" t="s">
        <v>301</v>
      </c>
      <c r="B32" s="179" t="s">
        <v>200</v>
      </c>
      <c r="C32" s="179" t="s">
        <v>224</v>
      </c>
      <c r="D32" s="181">
        <v>1725</v>
      </c>
      <c r="E32" s="181">
        <v>1400</v>
      </c>
      <c r="F32" s="181">
        <v>4</v>
      </c>
      <c r="G32" s="182" t="s">
        <v>202</v>
      </c>
      <c r="H32" s="181">
        <v>7241</v>
      </c>
      <c r="I32" s="181">
        <v>928</v>
      </c>
      <c r="J32" s="181">
        <v>194</v>
      </c>
      <c r="K32" s="183">
        <v>423</v>
      </c>
      <c r="L32" s="183">
        <v>258</v>
      </c>
      <c r="M32" s="181">
        <v>255</v>
      </c>
      <c r="N32" s="181">
        <v>10.63</v>
      </c>
      <c r="O32" s="181">
        <v>981</v>
      </c>
    </row>
    <row r="33" spans="1:15" x14ac:dyDescent="0.2">
      <c r="A33" s="179" t="s">
        <v>302</v>
      </c>
      <c r="B33" s="179" t="s">
        <v>200</v>
      </c>
      <c r="C33" s="179" t="s">
        <v>225</v>
      </c>
      <c r="D33" s="181">
        <v>1775</v>
      </c>
      <c r="E33" s="181">
        <v>1000</v>
      </c>
      <c r="F33" s="181">
        <v>4</v>
      </c>
      <c r="G33" s="182" t="s">
        <v>202</v>
      </c>
      <c r="H33" s="181">
        <v>6697</v>
      </c>
      <c r="I33" s="181">
        <v>628</v>
      </c>
      <c r="J33" s="181">
        <v>309</v>
      </c>
      <c r="K33" s="183">
        <v>14009</v>
      </c>
      <c r="L33" s="183"/>
      <c r="M33" s="181">
        <v>240</v>
      </c>
      <c r="N33" s="181">
        <v>12.14</v>
      </c>
      <c r="O33" s="181">
        <v>847</v>
      </c>
    </row>
    <row r="34" spans="1:15" x14ac:dyDescent="0.2">
      <c r="A34" s="179" t="s">
        <v>303</v>
      </c>
      <c r="B34" s="179" t="s">
        <v>200</v>
      </c>
      <c r="C34" s="179" t="s">
        <v>226</v>
      </c>
      <c r="D34" s="181">
        <v>1875</v>
      </c>
      <c r="E34" s="181">
        <v>1000</v>
      </c>
      <c r="F34" s="181">
        <v>4</v>
      </c>
      <c r="G34" s="182" t="s">
        <v>202</v>
      </c>
      <c r="H34" s="181">
        <v>6649</v>
      </c>
      <c r="I34" s="181">
        <v>704</v>
      </c>
      <c r="J34" s="181">
        <v>375</v>
      </c>
      <c r="K34" s="183">
        <v>415</v>
      </c>
      <c r="L34" s="183">
        <v>210</v>
      </c>
      <c r="M34" s="181">
        <v>178</v>
      </c>
      <c r="N34" s="181">
        <v>11.19</v>
      </c>
      <c r="O34" s="181">
        <v>835</v>
      </c>
    </row>
    <row r="35" spans="1:15" x14ac:dyDescent="0.2">
      <c r="A35" s="179" t="s">
        <v>304</v>
      </c>
      <c r="B35" s="179" t="s">
        <v>200</v>
      </c>
      <c r="C35" s="179" t="s">
        <v>227</v>
      </c>
      <c r="D35" s="181">
        <v>2370</v>
      </c>
      <c r="E35" s="181">
        <v>1000</v>
      </c>
      <c r="F35" s="181">
        <v>4</v>
      </c>
      <c r="G35" s="182" t="s">
        <v>202</v>
      </c>
      <c r="H35" s="181">
        <v>6677</v>
      </c>
      <c r="I35" s="181">
        <v>630</v>
      </c>
      <c r="J35" s="181">
        <v>308</v>
      </c>
      <c r="K35" s="183">
        <v>17752</v>
      </c>
      <c r="L35" s="183"/>
      <c r="M35" s="181">
        <v>239</v>
      </c>
      <c r="N35" s="181">
        <v>11.98</v>
      </c>
      <c r="O35" s="181">
        <v>857</v>
      </c>
    </row>
    <row r="36" spans="1:15" x14ac:dyDescent="0.2">
      <c r="A36" s="179" t="s">
        <v>305</v>
      </c>
      <c r="B36" s="179" t="s">
        <v>200</v>
      </c>
      <c r="C36" s="179" t="s">
        <v>228</v>
      </c>
      <c r="D36" s="181">
        <v>2500</v>
      </c>
      <c r="E36" s="181">
        <v>1000</v>
      </c>
      <c r="F36" s="181">
        <v>4</v>
      </c>
      <c r="G36" s="182" t="s">
        <v>202</v>
      </c>
      <c r="H36" s="181">
        <v>6594</v>
      </c>
      <c r="I36" s="181">
        <v>635</v>
      </c>
      <c r="J36" s="181">
        <v>304</v>
      </c>
      <c r="K36" s="183">
        <v>421</v>
      </c>
      <c r="L36" s="183">
        <v>173</v>
      </c>
      <c r="M36" s="181">
        <v>258</v>
      </c>
      <c r="N36" s="181">
        <v>11.18</v>
      </c>
      <c r="O36" s="181">
        <v>853</v>
      </c>
    </row>
    <row r="37" spans="1:15" x14ac:dyDescent="0.2">
      <c r="A37" s="179" t="s">
        <v>306</v>
      </c>
      <c r="B37" s="179" t="s">
        <v>200</v>
      </c>
      <c r="C37" s="179" t="s">
        <v>229</v>
      </c>
      <c r="D37" s="181">
        <v>3550</v>
      </c>
      <c r="E37" s="181">
        <v>1000</v>
      </c>
      <c r="F37" s="181">
        <v>4</v>
      </c>
      <c r="G37" s="182" t="s">
        <v>202</v>
      </c>
      <c r="H37" s="181">
        <v>6629</v>
      </c>
      <c r="I37" s="181">
        <v>614</v>
      </c>
      <c r="J37" s="181">
        <v>306</v>
      </c>
      <c r="K37" s="183">
        <v>27777</v>
      </c>
      <c r="L37" s="183"/>
      <c r="M37" s="181">
        <v>238</v>
      </c>
      <c r="N37" s="181">
        <v>12.03</v>
      </c>
      <c r="O37" s="181">
        <v>838</v>
      </c>
    </row>
    <row r="38" spans="1:15" x14ac:dyDescent="0.2">
      <c r="A38" s="179" t="s">
        <v>307</v>
      </c>
      <c r="B38" s="179" t="s">
        <v>200</v>
      </c>
      <c r="C38" s="179" t="s">
        <v>230</v>
      </c>
      <c r="D38" s="181">
        <v>3750</v>
      </c>
      <c r="E38" s="181">
        <v>1000</v>
      </c>
      <c r="F38" s="181">
        <v>4</v>
      </c>
      <c r="G38" s="182" t="s">
        <v>202</v>
      </c>
      <c r="H38" s="181">
        <v>6540</v>
      </c>
      <c r="I38" s="181">
        <v>632</v>
      </c>
      <c r="J38" s="181">
        <v>302</v>
      </c>
      <c r="K38" s="183">
        <v>460</v>
      </c>
      <c r="L38" s="183">
        <v>113</v>
      </c>
      <c r="M38" s="181">
        <v>278</v>
      </c>
      <c r="N38" s="181">
        <v>11.01</v>
      </c>
      <c r="O38" s="181">
        <v>850</v>
      </c>
    </row>
    <row r="39" spans="1:15" x14ac:dyDescent="0.2">
      <c r="A39" s="179" t="s">
        <v>308</v>
      </c>
      <c r="B39" s="179" t="s">
        <v>200</v>
      </c>
      <c r="C39" s="179" t="s">
        <v>231</v>
      </c>
      <c r="D39" s="181">
        <v>4735</v>
      </c>
      <c r="E39" s="181">
        <v>1000</v>
      </c>
      <c r="F39" s="181">
        <v>4</v>
      </c>
      <c r="G39" s="182" t="s">
        <v>202</v>
      </c>
      <c r="H39" s="181">
        <v>6605</v>
      </c>
      <c r="I39" s="181">
        <v>607</v>
      </c>
      <c r="J39" s="181">
        <v>304</v>
      </c>
      <c r="K39" s="183">
        <v>34290</v>
      </c>
      <c r="L39" s="183"/>
      <c r="M39" s="181">
        <v>237</v>
      </c>
      <c r="N39" s="181">
        <v>11.85</v>
      </c>
      <c r="O39" s="181">
        <v>856</v>
      </c>
    </row>
    <row r="40" spans="1:15" x14ac:dyDescent="0.2">
      <c r="A40" s="179" t="s">
        <v>309</v>
      </c>
      <c r="B40" s="179" t="s">
        <v>200</v>
      </c>
      <c r="C40" s="179" t="s">
        <v>232</v>
      </c>
      <c r="D40" s="181">
        <v>5000</v>
      </c>
      <c r="E40" s="181">
        <v>1000</v>
      </c>
      <c r="F40" s="181">
        <v>4</v>
      </c>
      <c r="G40" s="182" t="s">
        <v>202</v>
      </c>
      <c r="H40" s="181">
        <v>6527</v>
      </c>
      <c r="I40" s="181">
        <v>633</v>
      </c>
      <c r="J40" s="181">
        <v>368</v>
      </c>
      <c r="K40" s="183">
        <v>469</v>
      </c>
      <c r="L40" s="183">
        <v>134</v>
      </c>
      <c r="M40" s="181">
        <v>224</v>
      </c>
      <c r="N40" s="181">
        <v>10.86</v>
      </c>
      <c r="O40" s="181">
        <v>840</v>
      </c>
    </row>
    <row r="41" spans="1:15" x14ac:dyDescent="0.2">
      <c r="A41" s="179" t="s">
        <v>310</v>
      </c>
      <c r="B41" s="179" t="s">
        <v>200</v>
      </c>
      <c r="C41" s="179" t="s">
        <v>233</v>
      </c>
      <c r="D41" s="181">
        <v>6135</v>
      </c>
      <c r="E41" s="181">
        <v>750</v>
      </c>
      <c r="F41" s="181">
        <v>4</v>
      </c>
      <c r="G41" s="182" t="s">
        <v>202</v>
      </c>
      <c r="H41" s="181">
        <v>5864</v>
      </c>
      <c r="I41" s="181">
        <v>385</v>
      </c>
      <c r="J41" s="181">
        <v>342</v>
      </c>
      <c r="K41" s="183">
        <v>462</v>
      </c>
      <c r="L41" s="183">
        <v>190</v>
      </c>
      <c r="M41" s="181">
        <v>162</v>
      </c>
      <c r="N41" s="181">
        <v>11.65</v>
      </c>
      <c r="O41" s="181">
        <v>647</v>
      </c>
    </row>
    <row r="42" spans="1:15" x14ac:dyDescent="0.2">
      <c r="A42" s="179" t="s">
        <v>311</v>
      </c>
      <c r="B42" s="179" t="s">
        <v>200</v>
      </c>
      <c r="C42" s="179" t="s">
        <v>234</v>
      </c>
      <c r="D42" s="181">
        <v>8180</v>
      </c>
      <c r="E42" s="181">
        <v>750</v>
      </c>
      <c r="F42" s="181">
        <v>4</v>
      </c>
      <c r="G42" s="182" t="s">
        <v>202</v>
      </c>
      <c r="H42" s="181">
        <v>5860</v>
      </c>
      <c r="I42" s="181">
        <v>385</v>
      </c>
      <c r="J42" s="181">
        <v>342</v>
      </c>
      <c r="K42" s="183">
        <v>448</v>
      </c>
      <c r="L42" s="183">
        <v>186</v>
      </c>
      <c r="M42" s="181">
        <v>168</v>
      </c>
      <c r="N42" s="181">
        <v>11.48</v>
      </c>
      <c r="O42" s="181">
        <v>642</v>
      </c>
    </row>
    <row r="43" spans="1:15" x14ac:dyDescent="0.2">
      <c r="A43" s="179" t="s">
        <v>312</v>
      </c>
      <c r="B43" s="179" t="s">
        <v>235</v>
      </c>
      <c r="C43" s="179" t="s">
        <v>236</v>
      </c>
      <c r="D43" s="181">
        <v>99</v>
      </c>
      <c r="E43" s="181">
        <v>2200</v>
      </c>
      <c r="F43" s="181">
        <v>4</v>
      </c>
      <c r="G43" s="181">
        <v>99</v>
      </c>
      <c r="H43" s="181">
        <v>8454</v>
      </c>
      <c r="I43" s="181">
        <v>2051</v>
      </c>
      <c r="J43" s="182" t="s">
        <v>202</v>
      </c>
      <c r="K43" s="183" t="s">
        <v>237</v>
      </c>
      <c r="L43" s="183"/>
      <c r="M43" s="181">
        <v>651</v>
      </c>
      <c r="N43" s="182" t="s">
        <v>202</v>
      </c>
      <c r="O43" s="181">
        <v>1327</v>
      </c>
    </row>
    <row r="44" spans="1:15" x14ac:dyDescent="0.2">
      <c r="A44" s="179" t="s">
        <v>313</v>
      </c>
      <c r="B44" s="179" t="s">
        <v>235</v>
      </c>
      <c r="C44" s="179" t="s">
        <v>238</v>
      </c>
      <c r="D44" s="181">
        <v>118</v>
      </c>
      <c r="E44" s="181">
        <v>1800</v>
      </c>
      <c r="F44" s="181">
        <v>4</v>
      </c>
      <c r="G44" s="181">
        <v>103</v>
      </c>
      <c r="H44" s="181">
        <v>8455</v>
      </c>
      <c r="I44" s="181">
        <v>2335</v>
      </c>
      <c r="J44" s="182" t="s">
        <v>202</v>
      </c>
      <c r="K44" s="183" t="s">
        <v>237</v>
      </c>
      <c r="L44" s="183"/>
      <c r="M44" s="181">
        <v>388</v>
      </c>
      <c r="N44" s="182" t="s">
        <v>202</v>
      </c>
      <c r="O44" s="181">
        <v>1342</v>
      </c>
    </row>
    <row r="45" spans="1:15" x14ac:dyDescent="0.2">
      <c r="A45" s="179" t="s">
        <v>314</v>
      </c>
      <c r="B45" s="179" t="s">
        <v>235</v>
      </c>
      <c r="C45" s="179" t="s">
        <v>239</v>
      </c>
      <c r="D45" s="181">
        <v>175</v>
      </c>
      <c r="E45" s="181">
        <v>1800</v>
      </c>
      <c r="F45" s="181">
        <v>4</v>
      </c>
      <c r="G45" s="181">
        <v>152</v>
      </c>
      <c r="H45" s="181">
        <v>7369</v>
      </c>
      <c r="I45" s="181">
        <v>1642</v>
      </c>
      <c r="J45" s="182" t="s">
        <v>202</v>
      </c>
      <c r="K45" s="183">
        <v>347</v>
      </c>
      <c r="L45" s="183"/>
      <c r="M45" s="181">
        <v>388</v>
      </c>
      <c r="N45" s="182" t="s">
        <v>202</v>
      </c>
      <c r="O45" s="181">
        <v>1341</v>
      </c>
    </row>
    <row r="46" spans="1:15" x14ac:dyDescent="0.2">
      <c r="A46" s="179" t="s">
        <v>315</v>
      </c>
      <c r="B46" s="179" t="s">
        <v>235</v>
      </c>
      <c r="C46" s="179" t="s">
        <v>240</v>
      </c>
      <c r="D46" s="181">
        <v>175</v>
      </c>
      <c r="E46" s="181">
        <v>1800</v>
      </c>
      <c r="F46" s="181">
        <v>4</v>
      </c>
      <c r="G46" s="181">
        <v>142</v>
      </c>
      <c r="H46" s="181">
        <v>8088</v>
      </c>
      <c r="I46" s="181">
        <v>2634</v>
      </c>
      <c r="J46" s="182" t="s">
        <v>202</v>
      </c>
      <c r="K46" s="183">
        <v>304</v>
      </c>
      <c r="L46" s="183"/>
      <c r="M46" s="181">
        <v>700</v>
      </c>
      <c r="N46" s="182" t="s">
        <v>202</v>
      </c>
      <c r="O46" s="181">
        <v>1077</v>
      </c>
    </row>
    <row r="47" spans="1:15" x14ac:dyDescent="0.2">
      <c r="A47" s="179" t="s">
        <v>316</v>
      </c>
      <c r="B47" s="179" t="s">
        <v>235</v>
      </c>
      <c r="C47" s="179" t="s">
        <v>241</v>
      </c>
      <c r="D47" s="181">
        <v>188</v>
      </c>
      <c r="E47" s="181">
        <v>1800</v>
      </c>
      <c r="F47" s="181">
        <v>4</v>
      </c>
      <c r="G47" s="181">
        <v>97</v>
      </c>
      <c r="H47" s="181">
        <v>8528</v>
      </c>
      <c r="I47" s="181">
        <v>2692</v>
      </c>
      <c r="J47" s="182" t="s">
        <v>202</v>
      </c>
      <c r="K47" s="183" t="s">
        <v>237</v>
      </c>
      <c r="L47" s="183"/>
      <c r="M47" s="181">
        <v>488</v>
      </c>
      <c r="N47" s="182" t="s">
        <v>202</v>
      </c>
      <c r="O47" s="181">
        <v>1179</v>
      </c>
    </row>
    <row r="48" spans="1:15" x14ac:dyDescent="0.2">
      <c r="A48" s="179" t="s">
        <v>317</v>
      </c>
      <c r="B48" s="179" t="s">
        <v>235</v>
      </c>
      <c r="C48" s="179" t="s">
        <v>242</v>
      </c>
      <c r="D48" s="181">
        <v>256</v>
      </c>
      <c r="E48" s="181">
        <v>1800</v>
      </c>
      <c r="F48" s="181">
        <v>4</v>
      </c>
      <c r="G48" s="181">
        <v>132</v>
      </c>
      <c r="H48" s="181">
        <v>8439</v>
      </c>
      <c r="I48" s="181">
        <v>2863</v>
      </c>
      <c r="J48" s="182" t="s">
        <v>202</v>
      </c>
      <c r="K48" s="183">
        <v>286</v>
      </c>
      <c r="L48" s="183"/>
      <c r="M48" s="181">
        <v>636</v>
      </c>
      <c r="N48" s="182" t="s">
        <v>202</v>
      </c>
      <c r="O48" s="181">
        <v>1347</v>
      </c>
    </row>
    <row r="49" spans="1:15" x14ac:dyDescent="0.2">
      <c r="A49" s="179" t="s">
        <v>318</v>
      </c>
      <c r="B49" s="179" t="s">
        <v>235</v>
      </c>
      <c r="C49" s="179" t="s">
        <v>243</v>
      </c>
      <c r="D49" s="181">
        <v>380</v>
      </c>
      <c r="E49" s="181">
        <v>1800</v>
      </c>
      <c r="F49" s="181">
        <v>4</v>
      </c>
      <c r="G49" s="181">
        <v>144</v>
      </c>
      <c r="H49" s="181">
        <v>8091</v>
      </c>
      <c r="I49" s="181">
        <v>2317</v>
      </c>
      <c r="J49" s="182" t="s">
        <v>202</v>
      </c>
      <c r="K49" s="183">
        <v>208</v>
      </c>
      <c r="L49" s="183"/>
      <c r="M49" s="181">
        <v>791</v>
      </c>
      <c r="N49" s="182" t="s">
        <v>202</v>
      </c>
      <c r="O49" s="181">
        <v>1341</v>
      </c>
    </row>
    <row r="50" spans="1:15" x14ac:dyDescent="0.2">
      <c r="A50" s="179" t="s">
        <v>319</v>
      </c>
      <c r="B50" s="179" t="s">
        <v>235</v>
      </c>
      <c r="C50" s="179" t="s">
        <v>244</v>
      </c>
      <c r="D50" s="181">
        <v>760</v>
      </c>
      <c r="E50" s="181">
        <v>1800</v>
      </c>
      <c r="F50" s="181">
        <v>4</v>
      </c>
      <c r="G50" s="181">
        <v>144</v>
      </c>
      <c r="H50" s="181">
        <v>7942</v>
      </c>
      <c r="I50" s="181">
        <v>3012</v>
      </c>
      <c r="J50" s="182" t="s">
        <v>202</v>
      </c>
      <c r="K50" s="183">
        <v>149</v>
      </c>
      <c r="L50" s="183"/>
      <c r="M50" s="181">
        <v>404</v>
      </c>
      <c r="N50" s="182" t="s">
        <v>202</v>
      </c>
      <c r="O50" s="181">
        <v>1197</v>
      </c>
    </row>
    <row r="51" spans="1:15" x14ac:dyDescent="0.2">
      <c r="A51" s="179" t="s">
        <v>320</v>
      </c>
      <c r="B51" s="179" t="s">
        <v>245</v>
      </c>
      <c r="C51" s="179" t="s">
        <v>246</v>
      </c>
      <c r="D51" s="181">
        <v>240</v>
      </c>
      <c r="E51" s="181">
        <v>1800</v>
      </c>
      <c r="F51" s="181">
        <v>4</v>
      </c>
      <c r="G51" s="181">
        <v>96</v>
      </c>
      <c r="H51" s="181">
        <v>7570</v>
      </c>
      <c r="I51" s="181">
        <v>2788</v>
      </c>
      <c r="J51" s="181">
        <v>225</v>
      </c>
      <c r="K51" s="183" t="s">
        <v>247</v>
      </c>
      <c r="L51" s="183"/>
      <c r="M51" s="181">
        <v>204</v>
      </c>
      <c r="N51" s="181">
        <v>6.45</v>
      </c>
      <c r="O51" s="181">
        <v>1064</v>
      </c>
    </row>
    <row r="52" spans="1:15" x14ac:dyDescent="0.2">
      <c r="A52" s="179" t="s">
        <v>321</v>
      </c>
      <c r="B52" s="179" t="s">
        <v>245</v>
      </c>
      <c r="C52" s="179" t="s">
        <v>248</v>
      </c>
      <c r="D52" s="181">
        <v>440</v>
      </c>
      <c r="E52" s="181">
        <v>1800</v>
      </c>
      <c r="F52" s="181">
        <v>4</v>
      </c>
      <c r="G52" s="181">
        <v>176</v>
      </c>
      <c r="H52" s="181">
        <v>7021</v>
      </c>
      <c r="I52" s="181">
        <v>1813</v>
      </c>
      <c r="J52" s="181">
        <v>225</v>
      </c>
      <c r="K52" s="183">
        <v>497</v>
      </c>
      <c r="L52" s="183"/>
      <c r="M52" s="181">
        <v>142</v>
      </c>
      <c r="N52" s="181">
        <v>9.24</v>
      </c>
      <c r="O52" s="181">
        <v>839</v>
      </c>
    </row>
    <row r="53" spans="1:15" x14ac:dyDescent="0.2">
      <c r="A53" s="179" t="s">
        <v>322</v>
      </c>
      <c r="B53" s="179" t="s">
        <v>245</v>
      </c>
      <c r="C53" s="179" t="s">
        <v>249</v>
      </c>
      <c r="D53" s="181">
        <v>400</v>
      </c>
      <c r="E53" s="181">
        <v>1800</v>
      </c>
      <c r="F53" s="181">
        <v>4</v>
      </c>
      <c r="G53" s="181">
        <v>160</v>
      </c>
      <c r="H53" s="181">
        <v>7523</v>
      </c>
      <c r="I53" s="181">
        <v>2285</v>
      </c>
      <c r="J53" s="181">
        <v>423</v>
      </c>
      <c r="K53" s="183">
        <v>195</v>
      </c>
      <c r="L53" s="183"/>
      <c r="M53" s="181">
        <v>248</v>
      </c>
      <c r="N53" s="181">
        <v>6.57</v>
      </c>
      <c r="O53" s="181">
        <v>1116</v>
      </c>
    </row>
    <row r="54" spans="1:15" x14ac:dyDescent="0.2">
      <c r="A54" s="179" t="s">
        <v>323</v>
      </c>
      <c r="B54" s="179" t="s">
        <v>245</v>
      </c>
      <c r="C54" s="179" t="s">
        <v>250</v>
      </c>
      <c r="D54" s="181">
        <v>320</v>
      </c>
      <c r="E54" s="181">
        <v>1800</v>
      </c>
      <c r="F54" s="181">
        <v>4</v>
      </c>
      <c r="G54" s="181">
        <v>96</v>
      </c>
      <c r="H54" s="181">
        <v>7897</v>
      </c>
      <c r="I54" s="181">
        <v>2984</v>
      </c>
      <c r="J54" s="181">
        <v>234</v>
      </c>
      <c r="K54" s="183" t="s">
        <v>247</v>
      </c>
      <c r="L54" s="183"/>
      <c r="M54" s="181">
        <v>184</v>
      </c>
      <c r="N54" s="181">
        <v>6.73</v>
      </c>
      <c r="O54" s="181">
        <v>1098</v>
      </c>
    </row>
    <row r="55" spans="1:15" x14ac:dyDescent="0.2">
      <c r="A55" s="179" t="s">
        <v>324</v>
      </c>
      <c r="B55" s="179" t="s">
        <v>245</v>
      </c>
      <c r="C55" s="179" t="s">
        <v>251</v>
      </c>
      <c r="D55" s="181">
        <v>585</v>
      </c>
      <c r="E55" s="181">
        <v>1800</v>
      </c>
      <c r="F55" s="181">
        <v>4</v>
      </c>
      <c r="G55" s="181">
        <v>176</v>
      </c>
      <c r="H55" s="181">
        <v>7016</v>
      </c>
      <c r="I55" s="181">
        <v>1812</v>
      </c>
      <c r="J55" s="181">
        <v>224</v>
      </c>
      <c r="K55" s="183">
        <v>487</v>
      </c>
      <c r="L55" s="183"/>
      <c r="M55" s="181">
        <v>126</v>
      </c>
      <c r="N55" s="181">
        <v>9.23</v>
      </c>
      <c r="O55" s="181">
        <v>842</v>
      </c>
    </row>
    <row r="56" spans="1:15" x14ac:dyDescent="0.2">
      <c r="A56" s="179" t="s">
        <v>325</v>
      </c>
      <c r="B56" s="179" t="s">
        <v>245</v>
      </c>
      <c r="C56" s="179" t="s">
        <v>252</v>
      </c>
      <c r="D56" s="181">
        <v>530</v>
      </c>
      <c r="E56" s="181">
        <v>1800</v>
      </c>
      <c r="F56" s="181">
        <v>4</v>
      </c>
      <c r="G56" s="181">
        <v>160</v>
      </c>
      <c r="H56" s="181">
        <v>7497</v>
      </c>
      <c r="I56" s="181">
        <v>2294</v>
      </c>
      <c r="J56" s="181">
        <v>423</v>
      </c>
      <c r="K56" s="183">
        <v>194</v>
      </c>
      <c r="L56" s="183"/>
      <c r="M56" s="181">
        <v>213</v>
      </c>
      <c r="N56" s="181">
        <v>6.55</v>
      </c>
      <c r="O56" s="181">
        <v>1114</v>
      </c>
    </row>
    <row r="57" spans="1:15" x14ac:dyDescent="0.2">
      <c r="A57" s="179" t="s">
        <v>326</v>
      </c>
      <c r="B57" s="179" t="s">
        <v>245</v>
      </c>
      <c r="C57" s="179" t="s">
        <v>253</v>
      </c>
      <c r="D57" s="181">
        <v>880</v>
      </c>
      <c r="E57" s="181">
        <v>1800</v>
      </c>
      <c r="F57" s="181">
        <v>4</v>
      </c>
      <c r="G57" s="181">
        <v>176</v>
      </c>
      <c r="H57" s="181">
        <v>7013</v>
      </c>
      <c r="I57" s="181">
        <v>1812</v>
      </c>
      <c r="J57" s="181">
        <v>224</v>
      </c>
      <c r="K57" s="183">
        <v>497</v>
      </c>
      <c r="L57" s="183"/>
      <c r="M57" s="181">
        <v>110</v>
      </c>
      <c r="N57" s="181">
        <v>9.23</v>
      </c>
      <c r="O57" s="181">
        <v>841</v>
      </c>
    </row>
    <row r="58" spans="1:15" x14ac:dyDescent="0.2">
      <c r="A58" s="179" t="s">
        <v>327</v>
      </c>
      <c r="B58" s="179" t="s">
        <v>245</v>
      </c>
      <c r="C58" s="179" t="s">
        <v>254</v>
      </c>
      <c r="D58" s="181">
        <v>800</v>
      </c>
      <c r="E58" s="181">
        <v>1800</v>
      </c>
      <c r="F58" s="181">
        <v>4</v>
      </c>
      <c r="G58" s="181">
        <v>160</v>
      </c>
      <c r="H58" s="181">
        <v>7389</v>
      </c>
      <c r="I58" s="181">
        <v>2335</v>
      </c>
      <c r="J58" s="181">
        <v>371</v>
      </c>
      <c r="K58" s="183">
        <v>188</v>
      </c>
      <c r="L58" s="183"/>
      <c r="M58" s="181">
        <v>178</v>
      </c>
      <c r="N58" s="181">
        <v>6.45</v>
      </c>
      <c r="O58" s="181">
        <v>1116</v>
      </c>
    </row>
    <row r="59" spans="1:15" x14ac:dyDescent="0.2">
      <c r="A59" s="179" t="s">
        <v>328</v>
      </c>
      <c r="B59" s="179" t="s">
        <v>245</v>
      </c>
      <c r="C59" s="179" t="s">
        <v>255</v>
      </c>
      <c r="D59" s="181">
        <v>1175</v>
      </c>
      <c r="E59" s="181">
        <v>1800</v>
      </c>
      <c r="F59" s="181">
        <v>4</v>
      </c>
      <c r="G59" s="181">
        <v>176</v>
      </c>
      <c r="H59" s="181">
        <v>6991</v>
      </c>
      <c r="I59" s="181">
        <v>1824</v>
      </c>
      <c r="J59" s="181">
        <v>223</v>
      </c>
      <c r="K59" s="183">
        <v>497</v>
      </c>
      <c r="L59" s="183"/>
      <c r="M59" s="181">
        <v>100</v>
      </c>
      <c r="N59" s="181">
        <v>9.1999999999999993</v>
      </c>
      <c r="O59" s="181">
        <v>839</v>
      </c>
    </row>
    <row r="60" spans="1:15" x14ac:dyDescent="0.2">
      <c r="A60" s="179" t="s">
        <v>329</v>
      </c>
      <c r="B60" s="179" t="s">
        <v>245</v>
      </c>
      <c r="C60" s="179" t="s">
        <v>256</v>
      </c>
      <c r="D60" s="181">
        <v>1065</v>
      </c>
      <c r="E60" s="181">
        <v>1800</v>
      </c>
      <c r="F60" s="181">
        <v>4</v>
      </c>
      <c r="G60" s="181">
        <v>160</v>
      </c>
      <c r="H60" s="181">
        <v>7373</v>
      </c>
      <c r="I60" s="181">
        <v>2318</v>
      </c>
      <c r="J60" s="181">
        <v>366</v>
      </c>
      <c r="K60" s="183">
        <v>188</v>
      </c>
      <c r="L60" s="183"/>
      <c r="M60" s="181">
        <v>157</v>
      </c>
      <c r="N60" s="181">
        <v>6.44</v>
      </c>
      <c r="O60" s="181">
        <v>1113</v>
      </c>
    </row>
    <row r="61" spans="1:15" x14ac:dyDescent="0.2">
      <c r="A61" s="179" t="s">
        <v>330</v>
      </c>
      <c r="B61" s="179" t="s">
        <v>245</v>
      </c>
      <c r="C61" s="179" t="s">
        <v>257</v>
      </c>
      <c r="D61" s="181">
        <v>460</v>
      </c>
      <c r="E61" s="181">
        <v>1200</v>
      </c>
      <c r="F61" s="181">
        <v>4</v>
      </c>
      <c r="G61" s="181">
        <v>86</v>
      </c>
      <c r="H61" s="181">
        <v>9192</v>
      </c>
      <c r="I61" s="181">
        <v>2320</v>
      </c>
      <c r="J61" s="181">
        <v>440</v>
      </c>
      <c r="K61" s="183" t="s">
        <v>247</v>
      </c>
      <c r="L61" s="183"/>
      <c r="M61" s="181">
        <v>490</v>
      </c>
      <c r="N61" s="181">
        <v>5.87</v>
      </c>
      <c r="O61" s="181">
        <v>1111</v>
      </c>
    </row>
    <row r="62" spans="1:15" x14ac:dyDescent="0.2">
      <c r="A62" s="179" t="s">
        <v>331</v>
      </c>
      <c r="B62" s="179" t="s">
        <v>245</v>
      </c>
      <c r="C62" s="179" t="s">
        <v>258</v>
      </c>
      <c r="D62" s="181">
        <v>740</v>
      </c>
      <c r="E62" s="181">
        <v>1200</v>
      </c>
      <c r="F62" s="181">
        <v>4</v>
      </c>
      <c r="G62" s="181">
        <v>138</v>
      </c>
      <c r="H62" s="181">
        <v>8180</v>
      </c>
      <c r="I62" s="181">
        <v>2577</v>
      </c>
      <c r="J62" s="181">
        <v>409</v>
      </c>
      <c r="K62" s="183">
        <v>162</v>
      </c>
      <c r="L62" s="183"/>
      <c r="M62" s="181">
        <v>439</v>
      </c>
      <c r="N62" s="181">
        <v>6.97</v>
      </c>
      <c r="O62" s="181">
        <v>1169</v>
      </c>
    </row>
    <row r="63" spans="1:15" x14ac:dyDescent="0.2">
      <c r="A63" s="179" t="s">
        <v>332</v>
      </c>
      <c r="B63" s="179" t="s">
        <v>245</v>
      </c>
      <c r="C63" s="179" t="s">
        <v>259</v>
      </c>
      <c r="D63" s="181">
        <v>840</v>
      </c>
      <c r="E63" s="181">
        <v>1200</v>
      </c>
      <c r="F63" s="181">
        <v>4</v>
      </c>
      <c r="G63" s="181">
        <v>158</v>
      </c>
      <c r="H63" s="181">
        <v>8037</v>
      </c>
      <c r="I63" s="181">
        <v>2489</v>
      </c>
      <c r="J63" s="181">
        <v>376</v>
      </c>
      <c r="K63" s="183">
        <v>165</v>
      </c>
      <c r="L63" s="183"/>
      <c r="M63" s="181">
        <v>402</v>
      </c>
      <c r="N63" s="181">
        <v>6.85</v>
      </c>
      <c r="O63" s="181">
        <v>1192</v>
      </c>
    </row>
    <row r="64" spans="1:15" x14ac:dyDescent="0.2">
      <c r="A64" s="179" t="s">
        <v>333</v>
      </c>
      <c r="B64" s="179" t="s">
        <v>245</v>
      </c>
      <c r="C64" s="179" t="s">
        <v>260</v>
      </c>
      <c r="D64" s="181">
        <v>1280</v>
      </c>
      <c r="E64" s="181">
        <v>1200</v>
      </c>
      <c r="F64" s="181">
        <v>4</v>
      </c>
      <c r="G64" s="181">
        <v>146</v>
      </c>
      <c r="H64" s="181">
        <v>6961</v>
      </c>
      <c r="I64" s="181">
        <v>1670</v>
      </c>
      <c r="J64" s="181">
        <v>360</v>
      </c>
      <c r="K64" s="183">
        <v>303</v>
      </c>
      <c r="L64" s="183"/>
      <c r="M64" s="181">
        <v>277</v>
      </c>
      <c r="N64" s="181">
        <v>9.07</v>
      </c>
      <c r="O64" s="181">
        <v>842</v>
      </c>
    </row>
    <row r="65" spans="1:15" x14ac:dyDescent="0.2">
      <c r="A65" s="179" t="s">
        <v>334</v>
      </c>
      <c r="B65" s="179" t="s">
        <v>245</v>
      </c>
      <c r="C65" s="179" t="s">
        <v>261</v>
      </c>
      <c r="D65" s="181">
        <v>1450</v>
      </c>
      <c r="E65" s="181">
        <v>1200</v>
      </c>
      <c r="F65" s="181">
        <v>4</v>
      </c>
      <c r="G65" s="181">
        <v>165</v>
      </c>
      <c r="H65" s="181">
        <v>6995</v>
      </c>
      <c r="I65" s="181">
        <v>1687</v>
      </c>
      <c r="J65" s="181">
        <v>337</v>
      </c>
      <c r="K65" s="183">
        <v>358</v>
      </c>
      <c r="L65" s="183"/>
      <c r="M65" s="181">
        <v>247</v>
      </c>
      <c r="N65" s="181">
        <v>9.11</v>
      </c>
      <c r="O65" s="181">
        <v>849</v>
      </c>
    </row>
    <row r="66" spans="1:15" x14ac:dyDescent="0.2">
      <c r="A66" s="179" t="s">
        <v>279</v>
      </c>
      <c r="B66" s="179" t="s">
        <v>245</v>
      </c>
      <c r="C66" s="179" t="s">
        <v>262</v>
      </c>
      <c r="D66" s="181">
        <v>1380</v>
      </c>
      <c r="E66" s="181">
        <v>1200</v>
      </c>
      <c r="F66" s="181">
        <v>4</v>
      </c>
      <c r="G66" s="181">
        <v>158</v>
      </c>
      <c r="H66" s="181">
        <v>7665</v>
      </c>
      <c r="I66" s="181">
        <v>2249</v>
      </c>
      <c r="J66" s="181">
        <v>348</v>
      </c>
      <c r="K66" s="183">
        <v>129</v>
      </c>
      <c r="L66" s="183"/>
      <c r="M66" s="181">
        <v>438</v>
      </c>
      <c r="N66" s="181">
        <v>6.51</v>
      </c>
      <c r="O66" s="181">
        <v>1136</v>
      </c>
    </row>
    <row r="67" spans="1:15" x14ac:dyDescent="0.2">
      <c r="A67" s="179" t="s">
        <v>335</v>
      </c>
      <c r="B67" s="179" t="s">
        <v>245</v>
      </c>
      <c r="C67" s="179" t="s">
        <v>263</v>
      </c>
      <c r="D67" s="181">
        <v>920</v>
      </c>
      <c r="E67" s="181">
        <v>1200</v>
      </c>
      <c r="F67" s="181">
        <v>4</v>
      </c>
      <c r="G67" s="181">
        <v>86</v>
      </c>
      <c r="H67" s="181">
        <v>8969</v>
      </c>
      <c r="I67" s="181">
        <v>2691</v>
      </c>
      <c r="J67" s="181">
        <v>487</v>
      </c>
      <c r="K67" s="183" t="s">
        <v>247</v>
      </c>
      <c r="L67" s="183"/>
      <c r="M67" s="181">
        <v>540</v>
      </c>
      <c r="N67" s="181">
        <v>8.74</v>
      </c>
      <c r="O67" s="181">
        <v>1073</v>
      </c>
    </row>
    <row r="68" spans="1:15" x14ac:dyDescent="0.2">
      <c r="A68" s="179" t="s">
        <v>132</v>
      </c>
      <c r="B68" s="179" t="s">
        <v>245</v>
      </c>
      <c r="C68" s="179" t="s">
        <v>264</v>
      </c>
      <c r="D68" s="181">
        <v>1480</v>
      </c>
      <c r="E68" s="181">
        <v>1200</v>
      </c>
      <c r="F68" s="181">
        <v>4</v>
      </c>
      <c r="G68" s="181">
        <v>138</v>
      </c>
      <c r="H68" s="181">
        <v>7284</v>
      </c>
      <c r="I68" s="181">
        <v>1953</v>
      </c>
      <c r="J68" s="181">
        <v>298</v>
      </c>
      <c r="K68" s="183">
        <v>427</v>
      </c>
      <c r="L68" s="183"/>
      <c r="M68" s="181">
        <v>189</v>
      </c>
      <c r="N68" s="181">
        <v>10.84</v>
      </c>
      <c r="O68" s="181">
        <v>710</v>
      </c>
    </row>
    <row r="69" spans="1:15" x14ac:dyDescent="0.2">
      <c r="A69" s="179" t="s">
        <v>336</v>
      </c>
      <c r="B69" s="179" t="s">
        <v>245</v>
      </c>
      <c r="C69" s="179" t="s">
        <v>265</v>
      </c>
      <c r="D69" s="181">
        <v>1480</v>
      </c>
      <c r="E69" s="181">
        <v>1200</v>
      </c>
      <c r="F69" s="181">
        <v>4</v>
      </c>
      <c r="G69" s="181">
        <v>138</v>
      </c>
      <c r="H69" s="181">
        <v>8047</v>
      </c>
      <c r="I69" s="181">
        <v>2431</v>
      </c>
      <c r="J69" s="181">
        <v>378</v>
      </c>
      <c r="K69" s="183">
        <v>214</v>
      </c>
      <c r="L69" s="183"/>
      <c r="M69" s="181">
        <v>625</v>
      </c>
      <c r="N69" s="181">
        <v>6.85</v>
      </c>
      <c r="O69" s="181">
        <v>1156</v>
      </c>
    </row>
    <row r="70" spans="1:15" x14ac:dyDescent="0.2">
      <c r="A70" s="179" t="s">
        <v>337</v>
      </c>
      <c r="B70" s="179" t="s">
        <v>245</v>
      </c>
      <c r="C70" s="179" t="s">
        <v>266</v>
      </c>
      <c r="D70" s="181">
        <v>1680</v>
      </c>
      <c r="E70" s="181">
        <v>1200</v>
      </c>
      <c r="F70" s="181">
        <v>4</v>
      </c>
      <c r="G70" s="181">
        <v>158</v>
      </c>
      <c r="H70" s="181">
        <v>7919</v>
      </c>
      <c r="I70" s="181">
        <v>2350</v>
      </c>
      <c r="J70" s="181">
        <v>343</v>
      </c>
      <c r="K70" s="183">
        <v>150</v>
      </c>
      <c r="L70" s="183"/>
      <c r="M70" s="181">
        <v>389</v>
      </c>
      <c r="N70" s="181">
        <v>6.74</v>
      </c>
      <c r="O70" s="181">
        <v>1179</v>
      </c>
    </row>
    <row r="71" spans="1:15" x14ac:dyDescent="0.2">
      <c r="A71" s="179" t="s">
        <v>338</v>
      </c>
      <c r="B71" s="179" t="s">
        <v>245</v>
      </c>
      <c r="C71" s="179" t="s">
        <v>267</v>
      </c>
      <c r="D71" s="181">
        <v>1980</v>
      </c>
      <c r="E71" s="181">
        <v>1200</v>
      </c>
      <c r="F71" s="181">
        <v>4</v>
      </c>
      <c r="G71" s="181">
        <v>138</v>
      </c>
      <c r="H71" s="181">
        <v>7198</v>
      </c>
      <c r="I71" s="181">
        <v>1784</v>
      </c>
      <c r="J71" s="181">
        <v>321</v>
      </c>
      <c r="K71" s="183">
        <v>446</v>
      </c>
      <c r="L71" s="183"/>
      <c r="M71" s="181">
        <v>165</v>
      </c>
      <c r="N71" s="181">
        <v>10.72</v>
      </c>
      <c r="O71" s="181">
        <v>762</v>
      </c>
    </row>
    <row r="72" spans="1:15" x14ac:dyDescent="0.2">
      <c r="A72" s="179" t="s">
        <v>339</v>
      </c>
      <c r="B72" s="179" t="s">
        <v>245</v>
      </c>
      <c r="C72" s="179" t="s">
        <v>268</v>
      </c>
      <c r="D72" s="181">
        <v>1980</v>
      </c>
      <c r="E72" s="181">
        <v>1200</v>
      </c>
      <c r="F72" s="181">
        <v>4</v>
      </c>
      <c r="G72" s="181">
        <v>138</v>
      </c>
      <c r="H72" s="181">
        <v>7930</v>
      </c>
      <c r="I72" s="181">
        <v>2518</v>
      </c>
      <c r="J72" s="181">
        <v>262</v>
      </c>
      <c r="K72" s="183">
        <v>194</v>
      </c>
      <c r="L72" s="183"/>
      <c r="M72" s="181">
        <v>320</v>
      </c>
      <c r="N72" s="181">
        <v>6.93</v>
      </c>
      <c r="O72" s="181">
        <v>1177</v>
      </c>
    </row>
    <row r="73" spans="1:15" x14ac:dyDescent="0.2">
      <c r="A73" s="179" t="s">
        <v>340</v>
      </c>
      <c r="B73" s="179" t="s">
        <v>245</v>
      </c>
      <c r="C73" s="179" t="s">
        <v>269</v>
      </c>
      <c r="D73" s="181">
        <v>2250</v>
      </c>
      <c r="E73" s="181">
        <v>1200</v>
      </c>
      <c r="F73" s="181">
        <v>4</v>
      </c>
      <c r="G73" s="181">
        <v>158</v>
      </c>
      <c r="H73" s="181">
        <v>7333</v>
      </c>
      <c r="I73" s="181">
        <v>3543</v>
      </c>
      <c r="J73" s="181">
        <v>407</v>
      </c>
      <c r="K73" s="183">
        <v>503</v>
      </c>
      <c r="L73" s="183"/>
      <c r="M73" s="181">
        <v>478</v>
      </c>
      <c r="N73" s="181">
        <v>10.72</v>
      </c>
      <c r="O73" s="181">
        <v>1132</v>
      </c>
    </row>
    <row r="74" spans="1:15" x14ac:dyDescent="0.2">
      <c r="A74" s="179" t="s">
        <v>341</v>
      </c>
      <c r="B74" s="179" t="s">
        <v>245</v>
      </c>
      <c r="C74" s="179" t="s">
        <v>270</v>
      </c>
      <c r="D74" s="181">
        <v>3625</v>
      </c>
      <c r="E74" s="181">
        <v>1000</v>
      </c>
      <c r="F74" s="181">
        <v>4</v>
      </c>
      <c r="G74" s="181">
        <v>220</v>
      </c>
      <c r="H74" s="181">
        <v>6550</v>
      </c>
      <c r="I74" s="181">
        <v>596</v>
      </c>
      <c r="J74" s="181">
        <v>262</v>
      </c>
      <c r="K74" s="183">
        <v>708</v>
      </c>
      <c r="L74" s="183"/>
      <c r="M74" s="181">
        <v>83</v>
      </c>
      <c r="N74" s="181">
        <v>11.77</v>
      </c>
      <c r="O74" s="181">
        <v>820</v>
      </c>
    </row>
    <row r="75" spans="1:15" x14ac:dyDescent="0.2">
      <c r="A75" s="179" t="s">
        <v>342</v>
      </c>
      <c r="B75" s="179" t="s">
        <v>245</v>
      </c>
      <c r="C75" s="179" t="s">
        <v>271</v>
      </c>
      <c r="D75" s="181">
        <v>4835</v>
      </c>
      <c r="E75" s="181">
        <v>1000</v>
      </c>
      <c r="F75" s="181">
        <v>4</v>
      </c>
      <c r="G75" s="181">
        <v>220</v>
      </c>
      <c r="H75" s="181">
        <v>6579</v>
      </c>
      <c r="I75" s="181">
        <v>620</v>
      </c>
      <c r="J75" s="181">
        <v>219</v>
      </c>
      <c r="K75" s="183">
        <v>734</v>
      </c>
      <c r="L75" s="183"/>
      <c r="M75" s="181">
        <v>81</v>
      </c>
      <c r="N75" s="181">
        <v>11.82</v>
      </c>
      <c r="O75" s="181">
        <v>812</v>
      </c>
    </row>
    <row r="77" spans="1:15" x14ac:dyDescent="0.2">
      <c r="A77" s="105" t="s">
        <v>272</v>
      </c>
    </row>
    <row r="78" spans="1:15" x14ac:dyDescent="0.2">
      <c r="A78" s="105" t="s">
        <v>273</v>
      </c>
    </row>
    <row r="79" spans="1:15" x14ac:dyDescent="0.2">
      <c r="A79" s="105" t="s">
        <v>274</v>
      </c>
    </row>
    <row r="80" spans="1:15" x14ac:dyDescent="0.2">
      <c r="A80" s="105" t="s">
        <v>275</v>
      </c>
    </row>
    <row r="82" spans="1:1" ht="15" x14ac:dyDescent="0.25">
      <c r="A82" s="167" t="s">
        <v>191</v>
      </c>
    </row>
    <row r="83" spans="1:1" ht="15" x14ac:dyDescent="0.25">
      <c r="A83" s="167" t="s">
        <v>389</v>
      </c>
    </row>
    <row r="84" spans="1:1" ht="15" x14ac:dyDescent="0.25">
      <c r="A84" s="167" t="s">
        <v>390</v>
      </c>
    </row>
    <row r="85" spans="1:1" ht="15" x14ac:dyDescent="0.25">
      <c r="A85" s="167" t="s">
        <v>391</v>
      </c>
    </row>
    <row r="86" spans="1:1" ht="15" x14ac:dyDescent="0.25">
      <c r="A86" s="168" t="s">
        <v>392</v>
      </c>
    </row>
    <row r="89" spans="1:1" x14ac:dyDescent="0.2">
      <c r="A89" s="105" t="s">
        <v>343</v>
      </c>
    </row>
  </sheetData>
  <sheetProtection password="E156" sheet="1" objects="1" scenarios="1"/>
  <mergeCells count="1">
    <mergeCell ref="I5:M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60"/>
  <sheetViews>
    <sheetView workbookViewId="0">
      <selection activeCell="E3" sqref="E3"/>
    </sheetView>
  </sheetViews>
  <sheetFormatPr defaultRowHeight="12.75" x14ac:dyDescent="0.2"/>
  <cols>
    <col min="1" max="1" width="9.140625" style="105"/>
    <col min="2" max="2" width="18" style="105" customWidth="1"/>
    <col min="3" max="4" width="9.140625" style="105"/>
    <col min="5" max="5" width="9.5703125" style="105" bestFit="1" customWidth="1"/>
    <col min="6" max="16384" width="9.140625" style="105"/>
  </cols>
  <sheetData>
    <row r="1" spans="1:10" ht="15" x14ac:dyDescent="0.25">
      <c r="A1" s="103" t="s">
        <v>384</v>
      </c>
    </row>
    <row r="3" spans="1:10" ht="15" x14ac:dyDescent="0.25">
      <c r="A3" s="3" t="s">
        <v>410</v>
      </c>
    </row>
    <row r="5" spans="1:10" x14ac:dyDescent="0.2">
      <c r="B5" s="185"/>
      <c r="C5" s="185"/>
      <c r="D5" s="233" t="s">
        <v>353</v>
      </c>
      <c r="E5" s="233"/>
      <c r="F5" s="233" t="s">
        <v>354</v>
      </c>
      <c r="G5" s="233"/>
      <c r="H5" s="233" t="s">
        <v>355</v>
      </c>
      <c r="I5" s="233"/>
    </row>
    <row r="6" spans="1:10" x14ac:dyDescent="0.2">
      <c r="B6" s="185" t="s">
        <v>348</v>
      </c>
      <c r="C6" s="185" t="s">
        <v>349</v>
      </c>
      <c r="D6" s="186" t="s">
        <v>356</v>
      </c>
      <c r="E6" s="186" t="s">
        <v>357</v>
      </c>
      <c r="F6" s="186" t="s">
        <v>356</v>
      </c>
      <c r="G6" s="186" t="s">
        <v>357</v>
      </c>
      <c r="H6" s="186" t="s">
        <v>356</v>
      </c>
      <c r="I6" s="186" t="s">
        <v>357</v>
      </c>
    </row>
    <row r="7" spans="1:10" x14ac:dyDescent="0.2">
      <c r="B7" s="185">
        <v>0.1</v>
      </c>
      <c r="C7" s="185">
        <v>35.020000000000003</v>
      </c>
      <c r="D7" s="187">
        <v>1.602E-2</v>
      </c>
      <c r="E7" s="185">
        <v>2945.5</v>
      </c>
      <c r="F7" s="185">
        <v>3.03</v>
      </c>
      <c r="G7" s="188">
        <v>1076.8</v>
      </c>
      <c r="H7" s="189">
        <v>6.1000000000000004E-3</v>
      </c>
      <c r="I7" s="189">
        <v>2.1766000000000001</v>
      </c>
    </row>
    <row r="8" spans="1:10" x14ac:dyDescent="0.2">
      <c r="B8" s="185">
        <v>0.2</v>
      </c>
      <c r="C8" s="185">
        <v>53.16</v>
      </c>
      <c r="D8" s="187">
        <v>1.6025000000000001E-2</v>
      </c>
      <c r="E8" s="185">
        <v>1526.3</v>
      </c>
      <c r="F8" s="185">
        <v>21.22</v>
      </c>
      <c r="G8" s="188">
        <v>1084.7</v>
      </c>
      <c r="H8" s="189">
        <v>4.2200000000000001E-2</v>
      </c>
      <c r="I8" s="189">
        <v>2.1059999999999999</v>
      </c>
    </row>
    <row r="9" spans="1:10" x14ac:dyDescent="0.2">
      <c r="B9" s="185">
        <v>0.3</v>
      </c>
      <c r="C9" s="185">
        <v>64.48</v>
      </c>
      <c r="D9" s="187">
        <v>1.6039999999999999E-2</v>
      </c>
      <c r="E9" s="185">
        <v>1039.7</v>
      </c>
      <c r="F9" s="185">
        <v>32.54</v>
      </c>
      <c r="G9" s="188">
        <v>1089.7</v>
      </c>
      <c r="H9" s="189">
        <v>6.4100000000000004E-2</v>
      </c>
      <c r="I9" s="189">
        <v>2.0809000000000002</v>
      </c>
    </row>
    <row r="10" spans="1:10" x14ac:dyDescent="0.2">
      <c r="B10" s="185">
        <v>0.4</v>
      </c>
      <c r="C10" s="185">
        <v>72.87</v>
      </c>
      <c r="D10" s="187">
        <v>1.6056000000000001E-2</v>
      </c>
      <c r="E10" s="185">
        <v>792.1</v>
      </c>
      <c r="F10" s="185">
        <v>40.92</v>
      </c>
      <c r="G10" s="188">
        <v>1093.3</v>
      </c>
      <c r="H10" s="189">
        <v>7.9899999999999999E-2</v>
      </c>
      <c r="I10" s="189">
        <v>2.0562</v>
      </c>
    </row>
    <row r="11" spans="1:10" x14ac:dyDescent="0.2">
      <c r="B11" s="185">
        <v>0.6</v>
      </c>
      <c r="C11" s="185">
        <v>85.22</v>
      </c>
      <c r="D11" s="187">
        <v>1.6084999999999999E-2</v>
      </c>
      <c r="E11" s="185">
        <v>540.1</v>
      </c>
      <c r="F11" s="185">
        <v>53.25</v>
      </c>
      <c r="G11" s="188">
        <v>1098.7</v>
      </c>
      <c r="H11" s="189">
        <v>0.1028</v>
      </c>
      <c r="I11" s="189">
        <v>2.0215000000000001</v>
      </c>
    </row>
    <row r="12" spans="1:10" x14ac:dyDescent="0.2">
      <c r="B12" s="190">
        <v>0.8</v>
      </c>
      <c r="C12" s="190">
        <v>94.38</v>
      </c>
      <c r="D12" s="187">
        <v>1.6112000000000001E-2</v>
      </c>
      <c r="E12" s="190">
        <v>411.69</v>
      </c>
      <c r="F12" s="190">
        <v>62.39</v>
      </c>
      <c r="G12" s="188">
        <v>1102.5999999999999</v>
      </c>
      <c r="H12" s="189">
        <v>0.1195</v>
      </c>
      <c r="I12" s="189">
        <v>1.9970000000000001</v>
      </c>
      <c r="J12" s="105" t="s">
        <v>199</v>
      </c>
    </row>
    <row r="13" spans="1:10" x14ac:dyDescent="0.2">
      <c r="B13" s="190">
        <v>1</v>
      </c>
      <c r="C13" s="190">
        <v>101.74</v>
      </c>
      <c r="D13" s="187">
        <v>1.6136000000000001E-2</v>
      </c>
      <c r="E13" s="190">
        <v>333.6</v>
      </c>
      <c r="F13" s="190">
        <v>69.73</v>
      </c>
      <c r="G13" s="188">
        <v>1105.8</v>
      </c>
      <c r="H13" s="189">
        <v>0.1326</v>
      </c>
      <c r="I13" s="189">
        <v>1.9781</v>
      </c>
      <c r="J13" s="105" t="s">
        <v>199</v>
      </c>
    </row>
    <row r="14" spans="1:10" x14ac:dyDescent="0.2">
      <c r="B14" s="190">
        <v>2</v>
      </c>
      <c r="C14" s="190">
        <v>126.07</v>
      </c>
      <c r="D14" s="187">
        <v>1.6230000000000001E-2</v>
      </c>
      <c r="E14" s="190">
        <v>173.76</v>
      </c>
      <c r="F14" s="190">
        <v>94.03</v>
      </c>
      <c r="G14" s="188">
        <v>1116.2</v>
      </c>
      <c r="H14" s="189">
        <v>0.17499999999999999</v>
      </c>
      <c r="I14" s="189">
        <v>1.92</v>
      </c>
      <c r="J14" s="105" t="s">
        <v>199</v>
      </c>
    </row>
    <row r="15" spans="1:10" x14ac:dyDescent="0.2">
      <c r="B15" s="190">
        <v>3</v>
      </c>
      <c r="C15" s="190">
        <v>141.47</v>
      </c>
      <c r="D15" s="187">
        <v>1.6299999999999999E-2</v>
      </c>
      <c r="E15" s="190">
        <v>118.73</v>
      </c>
      <c r="F15" s="190">
        <v>109.42</v>
      </c>
      <c r="G15" s="188">
        <v>1122.5999999999999</v>
      </c>
      <c r="H15" s="189">
        <v>0.2009</v>
      </c>
      <c r="I15" s="189">
        <v>1.8864000000000001</v>
      </c>
      <c r="J15" s="105" t="s">
        <v>199</v>
      </c>
    </row>
    <row r="16" spans="1:10" x14ac:dyDescent="0.2">
      <c r="B16" s="190">
        <v>4</v>
      </c>
      <c r="C16" s="190">
        <v>152.96</v>
      </c>
      <c r="D16" s="187">
        <v>1.6358000000000001E-2</v>
      </c>
      <c r="E16" s="190">
        <v>90.64</v>
      </c>
      <c r="F16" s="190">
        <v>120.92</v>
      </c>
      <c r="G16" s="188">
        <v>1127.3</v>
      </c>
      <c r="H16" s="189">
        <v>0.21990000000000001</v>
      </c>
      <c r="I16" s="189">
        <v>1.5626</v>
      </c>
      <c r="J16" s="105" t="s">
        <v>199</v>
      </c>
    </row>
    <row r="17" spans="2:10" x14ac:dyDescent="0.2">
      <c r="B17" s="190">
        <v>6</v>
      </c>
      <c r="C17" s="190">
        <v>170.05</v>
      </c>
      <c r="D17" s="187">
        <v>1.6451E-2</v>
      </c>
      <c r="E17" s="191">
        <v>61.984000000000002</v>
      </c>
      <c r="F17" s="190">
        <v>138.03</v>
      </c>
      <c r="G17" s="188">
        <v>1134.2</v>
      </c>
      <c r="H17" s="189">
        <v>0.21740000000000001</v>
      </c>
      <c r="I17" s="189">
        <v>1.8293999999999999</v>
      </c>
      <c r="J17" s="105" t="s">
        <v>199</v>
      </c>
    </row>
    <row r="18" spans="2:10" x14ac:dyDescent="0.2">
      <c r="B18" s="190">
        <v>8</v>
      </c>
      <c r="C18" s="190">
        <v>182.8</v>
      </c>
      <c r="D18" s="187">
        <v>1.6527E-2</v>
      </c>
      <c r="E18" s="191">
        <v>47.344999999999999</v>
      </c>
      <c r="F18" s="190">
        <v>150.87</v>
      </c>
      <c r="G18" s="188">
        <v>1139.3</v>
      </c>
      <c r="H18" s="189">
        <v>0.2676</v>
      </c>
      <c r="I18" s="189">
        <v>1.806</v>
      </c>
      <c r="J18" s="105" t="s">
        <v>199</v>
      </c>
    </row>
    <row r="19" spans="2:10" x14ac:dyDescent="0.2">
      <c r="B19" s="190">
        <v>10</v>
      </c>
      <c r="C19" s="190">
        <v>193.21</v>
      </c>
      <c r="D19" s="187">
        <v>1.6591999999999999E-2</v>
      </c>
      <c r="E19" s="191">
        <v>38.42</v>
      </c>
      <c r="F19" s="190">
        <v>161.26</v>
      </c>
      <c r="G19" s="188">
        <v>1143.3</v>
      </c>
      <c r="H19" s="189">
        <v>0.28360000000000002</v>
      </c>
      <c r="I19" s="189">
        <v>1.7879</v>
      </c>
      <c r="J19" s="105" t="s">
        <v>199</v>
      </c>
    </row>
    <row r="20" spans="2:10" x14ac:dyDescent="0.2">
      <c r="B20" s="190">
        <v>20</v>
      </c>
      <c r="C20" s="190">
        <v>227.96</v>
      </c>
      <c r="D20" s="187">
        <v>1.6833999999999998E-2</v>
      </c>
      <c r="E20" s="191">
        <v>20.087</v>
      </c>
      <c r="F20" s="190">
        <v>196.27</v>
      </c>
      <c r="G20" s="188">
        <v>1156.3</v>
      </c>
      <c r="H20" s="189">
        <v>0.33579999999999999</v>
      </c>
      <c r="I20" s="189">
        <v>1.732</v>
      </c>
      <c r="J20" s="105" t="s">
        <v>199</v>
      </c>
    </row>
    <row r="21" spans="2:10" x14ac:dyDescent="0.2">
      <c r="B21" s="190">
        <v>30</v>
      </c>
      <c r="C21" s="190">
        <v>250.34</v>
      </c>
      <c r="D21" s="187">
        <v>1.7009E-2</v>
      </c>
      <c r="E21" s="191">
        <v>13.744</v>
      </c>
      <c r="F21" s="188">
        <v>218.9</v>
      </c>
      <c r="G21" s="188">
        <v>1164.0999999999999</v>
      </c>
      <c r="H21" s="189">
        <v>0.36820000000000003</v>
      </c>
      <c r="I21" s="189">
        <v>1.6995</v>
      </c>
      <c r="J21" s="105" t="s">
        <v>199</v>
      </c>
    </row>
    <row r="22" spans="2:10" x14ac:dyDescent="0.2">
      <c r="B22" s="190">
        <v>40</v>
      </c>
      <c r="C22" s="190">
        <v>267.25</v>
      </c>
      <c r="D22" s="187">
        <v>1.7151E-2</v>
      </c>
      <c r="E22" s="189">
        <v>10.496499999999999</v>
      </c>
      <c r="F22" s="188">
        <v>236.1</v>
      </c>
      <c r="G22" s="188">
        <v>1169.8</v>
      </c>
      <c r="H22" s="189">
        <v>0.3921</v>
      </c>
      <c r="I22" s="189">
        <v>1.6765000000000001</v>
      </c>
      <c r="J22" s="105" t="s">
        <v>199</v>
      </c>
    </row>
    <row r="23" spans="2:10" x14ac:dyDescent="0.2">
      <c r="B23" s="190">
        <v>50</v>
      </c>
      <c r="C23" s="190">
        <v>281.02</v>
      </c>
      <c r="D23" s="187">
        <v>1.7274000000000001E-2</v>
      </c>
      <c r="E23" s="189">
        <v>8.5139999999999993</v>
      </c>
      <c r="F23" s="188">
        <v>250.2</v>
      </c>
      <c r="G23" s="188">
        <v>1174.0999999999999</v>
      </c>
      <c r="H23" s="189">
        <v>0.41120000000000001</v>
      </c>
      <c r="I23" s="189">
        <v>1.6586000000000001</v>
      </c>
      <c r="J23" s="105" t="s">
        <v>199</v>
      </c>
    </row>
    <row r="24" spans="2:10" x14ac:dyDescent="0.2">
      <c r="B24" s="190">
        <v>60</v>
      </c>
      <c r="C24" s="190">
        <v>292.70999999999998</v>
      </c>
      <c r="D24" s="187">
        <v>1.7382999999999999E-2</v>
      </c>
      <c r="E24" s="189">
        <v>7.1736000000000004</v>
      </c>
      <c r="F24" s="188">
        <v>262.2</v>
      </c>
      <c r="G24" s="188">
        <v>1177.5999999999999</v>
      </c>
      <c r="H24" s="189">
        <v>0.42730000000000001</v>
      </c>
      <c r="I24" s="189">
        <v>1.6439999999999999</v>
      </c>
      <c r="J24" s="105" t="s">
        <v>199</v>
      </c>
    </row>
    <row r="25" spans="2:10" x14ac:dyDescent="0.2">
      <c r="B25" s="190">
        <v>70</v>
      </c>
      <c r="C25" s="190">
        <v>302.93</v>
      </c>
      <c r="D25" s="187">
        <v>1.7482000000000001E-2</v>
      </c>
      <c r="E25" s="189">
        <v>6.2050000000000001</v>
      </c>
      <c r="F25" s="188">
        <v>272.7</v>
      </c>
      <c r="G25" s="188">
        <v>1180.5999999999999</v>
      </c>
      <c r="H25" s="189">
        <v>0.44109999999999999</v>
      </c>
      <c r="I25" s="189">
        <v>1.6315999999999999</v>
      </c>
      <c r="J25" s="105" t="s">
        <v>199</v>
      </c>
    </row>
    <row r="26" spans="2:10" x14ac:dyDescent="0.2">
      <c r="B26" s="190">
        <v>80</v>
      </c>
      <c r="C26" s="190">
        <v>312.04000000000002</v>
      </c>
      <c r="D26" s="187">
        <v>1.7572999999999998E-2</v>
      </c>
      <c r="E26" s="189">
        <v>5.4710999999999999</v>
      </c>
      <c r="F26" s="188">
        <v>282.10000000000002</v>
      </c>
      <c r="G26" s="188">
        <v>1183.0999999999999</v>
      </c>
      <c r="H26" s="189">
        <v>0.45340000000000003</v>
      </c>
      <c r="I26" s="189">
        <v>1.6208</v>
      </c>
      <c r="J26" s="105" t="s">
        <v>199</v>
      </c>
    </row>
    <row r="27" spans="2:10" x14ac:dyDescent="0.2">
      <c r="B27" s="190">
        <v>90</v>
      </c>
      <c r="C27" s="190">
        <v>320.27999999999997</v>
      </c>
      <c r="D27" s="187">
        <v>1.7659000000000001E-2</v>
      </c>
      <c r="E27" s="189">
        <v>4.8952999999999998</v>
      </c>
      <c r="F27" s="188">
        <v>290.7</v>
      </c>
      <c r="G27" s="188">
        <v>1185.3</v>
      </c>
      <c r="H27" s="189">
        <v>0.46429999999999999</v>
      </c>
      <c r="I27" s="189">
        <v>1.6113</v>
      </c>
      <c r="J27" s="105" t="s">
        <v>199</v>
      </c>
    </row>
    <row r="28" spans="2:10" x14ac:dyDescent="0.2">
      <c r="B28" s="190">
        <v>100</v>
      </c>
      <c r="C28" s="190">
        <v>327.82</v>
      </c>
      <c r="D28" s="187">
        <v>1.7739999999999999E-2</v>
      </c>
      <c r="E28" s="189">
        <v>4.431</v>
      </c>
      <c r="F28" s="188">
        <v>298.5</v>
      </c>
      <c r="G28" s="188">
        <v>1187.2</v>
      </c>
      <c r="H28" s="189">
        <v>0.4743</v>
      </c>
      <c r="I28" s="189">
        <v>1.6027</v>
      </c>
      <c r="J28" s="105" t="s">
        <v>199</v>
      </c>
    </row>
    <row r="29" spans="2:10" x14ac:dyDescent="0.2">
      <c r="B29" s="190">
        <v>150</v>
      </c>
      <c r="C29" s="190">
        <v>358.43</v>
      </c>
      <c r="D29" s="187">
        <v>1.8089999999999998E-2</v>
      </c>
      <c r="E29" s="189">
        <v>3.0139</v>
      </c>
      <c r="F29" s="188">
        <v>330.6</v>
      </c>
      <c r="G29" s="188">
        <v>1194.0999999999999</v>
      </c>
      <c r="H29" s="189">
        <v>0.5141</v>
      </c>
      <c r="I29" s="189">
        <v>1.5694999999999999</v>
      </c>
      <c r="J29" s="105" t="s">
        <v>199</v>
      </c>
    </row>
    <row r="30" spans="2:10" x14ac:dyDescent="0.2">
      <c r="B30" s="190">
        <v>200</v>
      </c>
      <c r="C30" s="190">
        <v>381.8</v>
      </c>
      <c r="D30" s="187">
        <v>1.839E-2</v>
      </c>
      <c r="E30" s="192">
        <v>2.2873000000000001</v>
      </c>
      <c r="F30" s="188">
        <v>355.5</v>
      </c>
      <c r="G30" s="188">
        <v>1198.3</v>
      </c>
      <c r="H30" s="189">
        <v>0.54379999999999995</v>
      </c>
      <c r="I30" s="189">
        <v>1.5454000000000001</v>
      </c>
      <c r="J30" s="105" t="s">
        <v>199</v>
      </c>
    </row>
    <row r="31" spans="2:10" x14ac:dyDescent="0.2">
      <c r="B31" s="190">
        <v>250</v>
      </c>
      <c r="C31" s="190">
        <v>400.97</v>
      </c>
      <c r="D31" s="187">
        <v>1.865E-2</v>
      </c>
      <c r="E31" s="192">
        <v>1.84317</v>
      </c>
      <c r="F31" s="188">
        <v>376.1</v>
      </c>
      <c r="G31" s="188">
        <v>1201.0999999999999</v>
      </c>
      <c r="H31" s="189">
        <v>0.56789999999999996</v>
      </c>
      <c r="I31" s="189">
        <v>1.5264</v>
      </c>
      <c r="J31" s="105" t="s">
        <v>199</v>
      </c>
    </row>
    <row r="32" spans="2:10" x14ac:dyDescent="0.2">
      <c r="B32" s="190">
        <v>300</v>
      </c>
      <c r="C32" s="190">
        <v>417.35</v>
      </c>
      <c r="D32" s="187">
        <v>1.8890000000000001E-2</v>
      </c>
      <c r="E32" s="192">
        <v>1.54274</v>
      </c>
      <c r="F32" s="188">
        <v>394</v>
      </c>
      <c r="G32" s="188">
        <v>1202.9000000000001</v>
      </c>
      <c r="H32" s="189">
        <v>0.58819999999999995</v>
      </c>
      <c r="I32" s="189">
        <v>1.5105</v>
      </c>
      <c r="J32" s="105" t="s">
        <v>199</v>
      </c>
    </row>
    <row r="33" spans="2:10" x14ac:dyDescent="0.2">
      <c r="B33" s="190">
        <v>350</v>
      </c>
      <c r="C33" s="190">
        <v>431.73</v>
      </c>
      <c r="D33" s="187">
        <v>1.9120000000000002E-2</v>
      </c>
      <c r="E33" s="192">
        <v>1.3255399999999999</v>
      </c>
      <c r="F33" s="188">
        <v>409.8</v>
      </c>
      <c r="G33" s="188">
        <v>1204</v>
      </c>
      <c r="H33" s="189">
        <v>0.60589999999999999</v>
      </c>
      <c r="I33" s="189">
        <v>1.4967999999999999</v>
      </c>
      <c r="J33" s="105" t="s">
        <v>199</v>
      </c>
    </row>
    <row r="34" spans="2:10" x14ac:dyDescent="0.2">
      <c r="B34" s="190">
        <v>400</v>
      </c>
      <c r="C34" s="190">
        <v>444.6</v>
      </c>
      <c r="D34" s="187">
        <v>1.934E-2</v>
      </c>
      <c r="E34" s="192">
        <v>1.1609499999999999</v>
      </c>
      <c r="F34" s="188">
        <v>424.2</v>
      </c>
      <c r="G34" s="188">
        <v>1204.5999999999999</v>
      </c>
      <c r="H34" s="189">
        <v>0.62170000000000003</v>
      </c>
      <c r="I34" s="189">
        <v>1.4846999999999999</v>
      </c>
      <c r="J34" s="105" t="s">
        <v>199</v>
      </c>
    </row>
    <row r="35" spans="2:10" x14ac:dyDescent="0.2">
      <c r="B35" s="190">
        <v>450</v>
      </c>
      <c r="C35" s="190">
        <v>456.28</v>
      </c>
      <c r="D35" s="187">
        <v>1.9539999999999998E-2</v>
      </c>
      <c r="E35" s="192">
        <v>1.03179</v>
      </c>
      <c r="F35" s="188">
        <v>437.3</v>
      </c>
      <c r="G35" s="188">
        <v>1204.8</v>
      </c>
      <c r="H35" s="189">
        <v>0.63600000000000001</v>
      </c>
      <c r="I35" s="189">
        <v>1.4738</v>
      </c>
      <c r="J35" s="105" t="s">
        <v>199</v>
      </c>
    </row>
    <row r="36" spans="2:10" x14ac:dyDescent="0.2">
      <c r="B36" s="190">
        <v>500</v>
      </c>
      <c r="C36" s="190">
        <v>467.01</v>
      </c>
      <c r="D36" s="187">
        <v>1.975E-2</v>
      </c>
      <c r="E36" s="192">
        <v>0.92762</v>
      </c>
      <c r="F36" s="188">
        <v>449.5</v>
      </c>
      <c r="G36" s="188">
        <v>1204.7</v>
      </c>
      <c r="H36" s="189">
        <v>0.64900000000000002</v>
      </c>
      <c r="I36" s="189">
        <v>1.4639</v>
      </c>
      <c r="J36" s="105" t="s">
        <v>199</v>
      </c>
    </row>
    <row r="37" spans="2:10" x14ac:dyDescent="0.2">
      <c r="B37" s="190">
        <v>600</v>
      </c>
      <c r="C37" s="190">
        <v>486.2</v>
      </c>
      <c r="D37" s="187">
        <v>2.0129999999999999E-2</v>
      </c>
      <c r="E37" s="192">
        <v>0.76975000000000005</v>
      </c>
      <c r="F37" s="188">
        <v>471.7</v>
      </c>
      <c r="G37" s="188">
        <v>1203.7</v>
      </c>
      <c r="H37" s="189">
        <v>0.67230000000000001</v>
      </c>
      <c r="I37" s="189">
        <v>1.4460999999999999</v>
      </c>
      <c r="J37" s="105" t="s">
        <v>199</v>
      </c>
    </row>
    <row r="38" spans="2:10" x14ac:dyDescent="0.2">
      <c r="B38" s="190">
        <v>700</v>
      </c>
      <c r="C38" s="190">
        <v>503.08</v>
      </c>
      <c r="D38" s="187">
        <v>2.0500000000000001E-2</v>
      </c>
      <c r="E38" s="192">
        <v>0.65556000000000003</v>
      </c>
      <c r="F38" s="188">
        <v>491.6</v>
      </c>
      <c r="G38" s="188">
        <v>1201.8</v>
      </c>
      <c r="H38" s="189">
        <v>0.69279999999999997</v>
      </c>
      <c r="I38" s="189">
        <v>1.4303999999999999</v>
      </c>
      <c r="J38" s="105" t="s">
        <v>199</v>
      </c>
    </row>
    <row r="39" spans="2:10" x14ac:dyDescent="0.2">
      <c r="B39" s="190">
        <v>800</v>
      </c>
      <c r="C39" s="190">
        <v>518.21</v>
      </c>
      <c r="D39" s="187">
        <v>2.087E-2</v>
      </c>
      <c r="E39" s="192">
        <v>0.56896000000000002</v>
      </c>
      <c r="F39" s="188">
        <v>509.8</v>
      </c>
      <c r="G39" s="188">
        <v>1199.4000000000001</v>
      </c>
      <c r="H39" s="189">
        <v>0.71109999999999995</v>
      </c>
      <c r="I39" s="189">
        <v>1.4162999999999999</v>
      </c>
      <c r="J39" s="105" t="s">
        <v>199</v>
      </c>
    </row>
    <row r="40" spans="2:10" x14ac:dyDescent="0.2">
      <c r="B40" s="190">
        <v>900</v>
      </c>
      <c r="C40" s="190">
        <v>531.95000000000005</v>
      </c>
      <c r="D40" s="187">
        <v>2.1229999999999999E-2</v>
      </c>
      <c r="E40" s="192">
        <v>0.50090999999999997</v>
      </c>
      <c r="F40" s="188">
        <v>526.70000000000005</v>
      </c>
      <c r="G40" s="188">
        <v>1196.4000000000001</v>
      </c>
      <c r="H40" s="189">
        <v>0.72789999999999999</v>
      </c>
      <c r="I40" s="189">
        <v>1.4032</v>
      </c>
      <c r="J40" s="105" t="s">
        <v>199</v>
      </c>
    </row>
    <row r="41" spans="2:10" x14ac:dyDescent="0.2">
      <c r="B41" s="190">
        <v>1000</v>
      </c>
      <c r="C41" s="190">
        <v>544.58000000000004</v>
      </c>
      <c r="D41" s="187">
        <v>2.1590000000000002E-2</v>
      </c>
      <c r="E41" s="192">
        <v>0.44596000000000002</v>
      </c>
      <c r="F41" s="188">
        <v>542.6</v>
      </c>
      <c r="G41" s="188">
        <v>1192.9000000000001</v>
      </c>
      <c r="H41" s="189">
        <v>0.74339999999999995</v>
      </c>
      <c r="I41" s="189">
        <v>1.391</v>
      </c>
      <c r="J41" s="105" t="s">
        <v>199</v>
      </c>
    </row>
    <row r="42" spans="2:10" x14ac:dyDescent="0.2">
      <c r="B42" s="190">
        <v>1200</v>
      </c>
      <c r="C42" s="190">
        <v>567.19000000000005</v>
      </c>
      <c r="D42" s="187">
        <v>2.232E-2</v>
      </c>
      <c r="E42" s="192">
        <v>0.36244999999999999</v>
      </c>
      <c r="F42" s="188">
        <v>571.9</v>
      </c>
      <c r="G42" s="188">
        <v>1184.8</v>
      </c>
      <c r="H42" s="189">
        <v>0.77139999999999997</v>
      </c>
      <c r="I42" s="189">
        <v>1.3683000000000001</v>
      </c>
      <c r="J42" s="105" t="s">
        <v>199</v>
      </c>
    </row>
    <row r="43" spans="2:10" x14ac:dyDescent="0.2">
      <c r="B43" s="190">
        <v>1400</v>
      </c>
      <c r="C43" s="190">
        <v>587.07000000000005</v>
      </c>
      <c r="D43" s="187">
        <v>2.307E-2</v>
      </c>
      <c r="E43" s="192">
        <v>0.30177999999999999</v>
      </c>
      <c r="F43" s="188">
        <v>598.79999999999995</v>
      </c>
      <c r="G43" s="188">
        <v>1175.8</v>
      </c>
      <c r="H43" s="189">
        <v>0.79659999999999997</v>
      </c>
      <c r="I43" s="189">
        <v>1.3473999999999999</v>
      </c>
      <c r="J43" s="105" t="s">
        <v>199</v>
      </c>
    </row>
    <row r="44" spans="2:10" x14ac:dyDescent="0.2">
      <c r="B44" s="190">
        <v>1600</v>
      </c>
      <c r="C44" s="190">
        <v>604.87</v>
      </c>
      <c r="D44" s="187">
        <v>2.3869999999999999E-2</v>
      </c>
      <c r="E44" s="192">
        <v>0.25545000000000001</v>
      </c>
      <c r="F44" s="188">
        <v>624.20000000000005</v>
      </c>
      <c r="G44" s="188">
        <v>1164.5</v>
      </c>
      <c r="H44" s="189">
        <v>0.81989999999999996</v>
      </c>
      <c r="I44" s="189">
        <v>1.3273999999999999</v>
      </c>
      <c r="J44" s="105" t="s">
        <v>199</v>
      </c>
    </row>
    <row r="45" spans="2:10" x14ac:dyDescent="0.2">
      <c r="B45" s="190">
        <v>1800</v>
      </c>
      <c r="C45" s="190">
        <v>621.02</v>
      </c>
      <c r="D45" s="187">
        <v>2.4719999999999999E-2</v>
      </c>
      <c r="E45" s="192">
        <v>0.21861</v>
      </c>
      <c r="F45" s="188">
        <v>648.5</v>
      </c>
      <c r="G45" s="188">
        <v>1152.3</v>
      </c>
      <c r="H45" s="189">
        <v>0.8417</v>
      </c>
      <c r="I45" s="189">
        <v>1.3079000000000001</v>
      </c>
      <c r="J45" s="105" t="s">
        <v>199</v>
      </c>
    </row>
    <row r="46" spans="2:10" x14ac:dyDescent="0.2">
      <c r="B46" s="190">
        <v>2000</v>
      </c>
      <c r="C46" s="190">
        <v>635.79999999999995</v>
      </c>
      <c r="D46" s="187">
        <v>2.5649999999999999E-2</v>
      </c>
      <c r="E46" s="192">
        <v>0.18831000000000001</v>
      </c>
      <c r="F46" s="188">
        <v>672.1</v>
      </c>
      <c r="G46" s="188">
        <v>1138.3</v>
      </c>
      <c r="H46" s="189">
        <v>0.86250000000000004</v>
      </c>
      <c r="I46" s="189">
        <v>1.2881</v>
      </c>
      <c r="J46" s="105" t="s">
        <v>199</v>
      </c>
    </row>
    <row r="47" spans="2:10" x14ac:dyDescent="0.2">
      <c r="B47" s="190">
        <v>2200</v>
      </c>
      <c r="C47" s="190">
        <v>649.45000000000005</v>
      </c>
      <c r="D47" s="187">
        <v>2.6689999999999998E-2</v>
      </c>
      <c r="E47" s="192">
        <v>0.16272</v>
      </c>
      <c r="F47" s="188">
        <v>695.5</v>
      </c>
      <c r="G47" s="188">
        <v>1122.2</v>
      </c>
      <c r="H47" s="189">
        <v>0.88280000000000003</v>
      </c>
      <c r="I47" s="189">
        <v>1.2676000000000001</v>
      </c>
      <c r="J47" s="105" t="s">
        <v>199</v>
      </c>
    </row>
    <row r="48" spans="2:10" x14ac:dyDescent="0.2">
      <c r="B48" s="190">
        <v>2400</v>
      </c>
      <c r="C48" s="190">
        <v>662.11</v>
      </c>
      <c r="D48" s="187">
        <v>2.7900000000000001E-2</v>
      </c>
      <c r="E48" s="192">
        <v>0.14076</v>
      </c>
      <c r="F48" s="188">
        <v>719</v>
      </c>
      <c r="G48" s="188">
        <v>1103.7</v>
      </c>
      <c r="H48" s="189">
        <v>0.90310000000000001</v>
      </c>
      <c r="I48" s="189">
        <v>1.246</v>
      </c>
      <c r="J48" s="105" t="s">
        <v>199</v>
      </c>
    </row>
    <row r="49" spans="1:10" x14ac:dyDescent="0.2">
      <c r="B49" s="190">
        <v>2600</v>
      </c>
      <c r="C49" s="190">
        <v>673.91</v>
      </c>
      <c r="D49" s="187">
        <v>2.938E-2</v>
      </c>
      <c r="E49" s="192">
        <v>0.1211</v>
      </c>
      <c r="F49" s="188">
        <v>744.5</v>
      </c>
      <c r="G49" s="188">
        <v>1082</v>
      </c>
      <c r="H49" s="189">
        <v>0.92469999999999997</v>
      </c>
      <c r="I49" s="189">
        <v>1.2224999999999999</v>
      </c>
      <c r="J49" s="105" t="s">
        <v>199</v>
      </c>
    </row>
    <row r="50" spans="1:10" x14ac:dyDescent="0.2">
      <c r="B50" s="190">
        <v>2800</v>
      </c>
      <c r="C50" s="190">
        <v>684.96</v>
      </c>
      <c r="D50" s="187">
        <v>3.134E-2</v>
      </c>
      <c r="E50" s="192">
        <v>0.10305</v>
      </c>
      <c r="F50" s="188">
        <v>770.7</v>
      </c>
      <c r="G50" s="188">
        <v>1055.5</v>
      </c>
      <c r="H50" s="189">
        <v>0.94679999999999997</v>
      </c>
      <c r="I50" s="189">
        <v>1.1958</v>
      </c>
      <c r="J50" s="105" t="s">
        <v>199</v>
      </c>
    </row>
    <row r="51" spans="1:10" x14ac:dyDescent="0.2">
      <c r="B51" s="190">
        <v>3000</v>
      </c>
      <c r="C51" s="190">
        <v>695.33</v>
      </c>
      <c r="D51" s="187">
        <v>3.4279999999999998E-2</v>
      </c>
      <c r="E51" s="192">
        <v>8.5000000000000006E-2</v>
      </c>
      <c r="F51" s="188">
        <v>801.8</v>
      </c>
      <c r="G51" s="188">
        <v>1020.3</v>
      </c>
      <c r="H51" s="189">
        <v>0.9728</v>
      </c>
      <c r="I51" s="189">
        <v>1.1618999999999999</v>
      </c>
      <c r="J51" s="105" t="s">
        <v>199</v>
      </c>
    </row>
    <row r="52" spans="1:10" x14ac:dyDescent="0.2">
      <c r="B52" s="190">
        <v>3100</v>
      </c>
      <c r="C52" s="190">
        <v>700.28</v>
      </c>
      <c r="D52" s="187">
        <v>3.6810000000000002E-2</v>
      </c>
      <c r="E52" s="192">
        <v>7.4520000000000003E-2</v>
      </c>
      <c r="F52" s="188">
        <v>824</v>
      </c>
      <c r="G52" s="188">
        <v>993.3</v>
      </c>
      <c r="H52" s="189">
        <v>0.99139999999999995</v>
      </c>
      <c r="I52" s="189">
        <v>1.1373</v>
      </c>
      <c r="J52" s="105" t="s">
        <v>199</v>
      </c>
    </row>
    <row r="53" spans="1:10" x14ac:dyDescent="0.2">
      <c r="B53" s="190">
        <v>3200</v>
      </c>
      <c r="C53" s="190">
        <v>705.08</v>
      </c>
      <c r="D53" s="187">
        <v>4.4720000000000003E-2</v>
      </c>
      <c r="E53" s="192">
        <v>5.663E-2</v>
      </c>
      <c r="F53" s="188">
        <v>875.5</v>
      </c>
      <c r="G53" s="188">
        <v>931.6</v>
      </c>
      <c r="H53" s="189">
        <v>1.0350999999999999</v>
      </c>
      <c r="I53" s="189">
        <v>1.0831999999999999</v>
      </c>
      <c r="J53" s="105" t="s">
        <v>199</v>
      </c>
    </row>
    <row r="54" spans="1:10" x14ac:dyDescent="0.2">
      <c r="B54" s="190">
        <v>3208.2</v>
      </c>
      <c r="C54" s="190">
        <v>705.47</v>
      </c>
      <c r="D54" s="187">
        <v>5.0779999999999999E-2</v>
      </c>
      <c r="E54" s="192">
        <v>5.0779999999999999E-2</v>
      </c>
      <c r="F54" s="188">
        <v>906</v>
      </c>
      <c r="G54" s="188">
        <v>906</v>
      </c>
      <c r="H54" s="189">
        <v>1.0611999999999999</v>
      </c>
      <c r="I54" s="189">
        <v>1.0611999999999999</v>
      </c>
      <c r="J54" s="105" t="s">
        <v>199</v>
      </c>
    </row>
    <row r="56" spans="1:10" ht="15" x14ac:dyDescent="0.25">
      <c r="A56" s="167" t="s">
        <v>191</v>
      </c>
    </row>
    <row r="57" spans="1:10" ht="15" x14ac:dyDescent="0.25">
      <c r="A57" s="167" t="s">
        <v>389</v>
      </c>
    </row>
    <row r="58" spans="1:10" ht="15" x14ac:dyDescent="0.25">
      <c r="A58" s="167" t="s">
        <v>390</v>
      </c>
    </row>
    <row r="59" spans="1:10" ht="15" x14ac:dyDescent="0.25">
      <c r="A59" s="167" t="s">
        <v>391</v>
      </c>
    </row>
    <row r="60" spans="1:10" ht="15" x14ac:dyDescent="0.25">
      <c r="A60" s="168" t="s">
        <v>392</v>
      </c>
    </row>
  </sheetData>
  <sheetProtection password="E156" sheet="1" objects="1" scenarios="1"/>
  <mergeCells count="3">
    <mergeCell ref="D5:E5"/>
    <mergeCell ref="F5:G5"/>
    <mergeCell ref="H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Revisions</vt:lpstr>
      <vt:lpstr>Nomenclature</vt:lpstr>
      <vt:lpstr>Example 15-1</vt:lpstr>
      <vt:lpstr>Example 15-2</vt:lpstr>
      <vt:lpstr>Example 15-3</vt:lpstr>
      <vt:lpstr>Example 15-4</vt:lpstr>
      <vt:lpstr>Limits</vt:lpstr>
      <vt:lpstr>Figure 15-3</vt:lpstr>
      <vt:lpstr>Figure 24-31</vt:lpstr>
      <vt:lpstr>Figure15_3</vt:lpstr>
      <vt:lpstr>Machine</vt:lpstr>
      <vt:lpstr>SaturatedSteamPressure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Stuart</dc:creator>
  <cp:lastModifiedBy>Hamilton, Stuart</cp:lastModifiedBy>
  <cp:lastPrinted>2012-07-16T17:29:10Z</cp:lastPrinted>
  <dcterms:created xsi:type="dcterms:W3CDTF">2008-08-21T19:06:00Z</dcterms:created>
  <dcterms:modified xsi:type="dcterms:W3CDTF">2017-04-09T00:11:01Z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