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vbaProject.bin" ContentType="application/vnd.ms-office.vbaProject"/>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6.xml" ContentType="application/vnd.ms-excel.controlproperties+xml"/>
  <Override PartName="/docProps/app.xml" ContentType="application/vnd.openxmlformats-officedocument.extended-properties+xml"/>
  <Override PartName="/xl/ctrlProps/ctrlProp5.xml" ContentType="application/vnd.ms-excel.controlproperties+xml"/>
  <Override PartName="/xl/ctrlProps/ctrlProp12.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7A2D7E96-6E34-419A-AE5F-296B3A7E7977}"/>
  <workbookPr codeName="ThisWorkbook" defaultThemeVersion="124226"/>
  <workbookProtection workbookPassword="D045" lockStructure="1"/>
  <bookViews>
    <workbookView xWindow="0" yWindow="0" windowWidth="24000" windowHeight="9735" activeTab="1"/>
  </bookViews>
  <sheets>
    <sheet name="IRRRL" sheetId="4" r:id="rId1"/>
    <sheet name="Purchase" sheetId="1" r:id="rId2"/>
    <sheet name="Cash-Out" sheetId="2" r:id="rId3"/>
    <sheet name="County Loan Limits" sheetId="3" state="hidden" r:id="rId4"/>
  </sheets>
  <definedNames>
    <definedName name="CASHEX">'Cash-Out'!$P$20</definedName>
    <definedName name="FIRST">Purchase!$P$27</definedName>
    <definedName name="FIRSTC">'Cash-Out'!$P$22</definedName>
    <definedName name="FIRSTTIME">Purchase!$P$27</definedName>
    <definedName name="_xlnm.Print_Area" localSheetId="0">IRRRL!$C$1:$Q$45</definedName>
    <definedName name="PUREX">Purchase!$P$25</definedName>
    <definedName name="REGMIL">Purchase!$P$26</definedName>
    <definedName name="REGMILC">'Cash-Out'!$P$21</definedName>
  </definedNames>
  <calcPr calcId="152511"/>
</workbook>
</file>

<file path=xl/calcChain.xml><?xml version="1.0" encoding="utf-8"?>
<calcChain xmlns="http://schemas.openxmlformats.org/spreadsheetml/2006/main">
  <c r="K36" i="2" l="1"/>
  <c r="K32" i="1" l="1"/>
  <c r="E23" i="2" l="1"/>
  <c r="B43" i="1" l="1"/>
  <c r="C41" i="4" l="1"/>
  <c r="E37" i="4"/>
  <c r="E31" i="4"/>
  <c r="K22" i="1" l="1"/>
  <c r="O21" i="4" l="1"/>
  <c r="O23" i="4" s="1"/>
  <c r="O24" i="4" s="1"/>
  <c r="J10" i="2"/>
  <c r="O33" i="4" l="1"/>
  <c r="O25" i="4"/>
  <c r="O26" i="4"/>
  <c r="O28" i="4" l="1"/>
  <c r="O30" i="4" s="1"/>
  <c r="O31" i="4" s="1"/>
  <c r="O35" i="4"/>
  <c r="K6" i="2"/>
  <c r="O32" i="4" l="1"/>
  <c r="O34" i="4" s="1"/>
  <c r="O36" i="4" s="1"/>
  <c r="O37" i="4" s="1"/>
  <c r="K8" i="2"/>
  <c r="K10" i="2" s="1"/>
  <c r="K8" i="1"/>
  <c r="C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8" i="3"/>
  <c r="B39" i="3"/>
  <c r="B40" i="3"/>
  <c r="B41" i="3"/>
  <c r="B42" i="3"/>
  <c r="B45" i="3"/>
  <c r="B46" i="3"/>
  <c r="B47" i="3"/>
  <c r="B48" i="3"/>
  <c r="B49" i="3"/>
  <c r="B50" i="3"/>
  <c r="B51" i="3"/>
  <c r="B52" i="3"/>
  <c r="B53" i="3"/>
  <c r="B54" i="3"/>
  <c r="B58" i="3"/>
  <c r="B63" i="3"/>
  <c r="B69" i="3"/>
  <c r="B70" i="3"/>
  <c r="B71" i="3"/>
  <c r="B72" i="3"/>
  <c r="B73" i="3"/>
  <c r="B75" i="3"/>
  <c r="B76" i="3"/>
  <c r="B77" i="3"/>
  <c r="B78" i="3"/>
  <c r="B79" i="3"/>
  <c r="B80" i="3"/>
  <c r="B81" i="3"/>
  <c r="B83" i="3"/>
  <c r="B84" i="3"/>
  <c r="B85" i="3"/>
  <c r="B86" i="3"/>
  <c r="B87" i="3"/>
  <c r="B88" i="3"/>
  <c r="B89" i="3"/>
  <c r="B90" i="3"/>
  <c r="B91" i="3"/>
  <c r="B92" i="3"/>
  <c r="B93" i="3"/>
  <c r="B94" i="3"/>
  <c r="B95" i="3"/>
  <c r="B96" i="3"/>
  <c r="B97" i="3"/>
  <c r="B98" i="3"/>
  <c r="B99" i="3"/>
  <c r="B100" i="3"/>
  <c r="B101" i="3"/>
  <c r="B103" i="3"/>
  <c r="B104" i="3"/>
  <c r="B105" i="3"/>
  <c r="B106" i="3"/>
  <c r="B107" i="3"/>
  <c r="B108" i="3"/>
  <c r="B109" i="3"/>
  <c r="B110" i="3"/>
  <c r="B111" i="3"/>
  <c r="B112" i="3"/>
  <c r="B113" i="3"/>
  <c r="B114" i="3"/>
  <c r="B115" i="3"/>
  <c r="B116" i="3"/>
  <c r="B117" i="3"/>
  <c r="B119" i="3"/>
  <c r="B120" i="3"/>
  <c r="B121" i="3"/>
  <c r="B123" i="3"/>
  <c r="B124" i="3"/>
  <c r="B125" i="3"/>
  <c r="B126" i="3"/>
  <c r="B127" i="3"/>
  <c r="B128" i="3"/>
  <c r="B129" i="3"/>
  <c r="B149" i="3"/>
  <c r="B150" i="3"/>
  <c r="B151" i="3"/>
  <c r="B152" i="3"/>
  <c r="B154" i="3"/>
  <c r="B155" i="3"/>
  <c r="B156" i="3"/>
  <c r="B157" i="3"/>
  <c r="B158" i="3"/>
  <c r="B160" i="3"/>
  <c r="B161" i="3"/>
  <c r="B162" i="3"/>
  <c r="B163" i="3"/>
  <c r="B165" i="3"/>
  <c r="B166" i="3"/>
  <c r="B167" i="3"/>
  <c r="B168" i="3"/>
  <c r="B169" i="3"/>
  <c r="B170" i="3"/>
  <c r="B171" i="3"/>
  <c r="B172" i="3"/>
  <c r="B173" i="3"/>
  <c r="B174" i="3"/>
  <c r="B175" i="3"/>
  <c r="B176" i="3"/>
  <c r="B6"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8" i="3"/>
  <c r="C39" i="3"/>
  <c r="C40" i="3"/>
  <c r="C41" i="3"/>
  <c r="C42" i="3"/>
  <c r="C45" i="3"/>
  <c r="C46" i="3"/>
  <c r="C47" i="3"/>
  <c r="C48" i="3"/>
  <c r="C49" i="3"/>
  <c r="C50" i="3"/>
  <c r="C51" i="3"/>
  <c r="C52" i="3"/>
  <c r="C53" i="3"/>
  <c r="C54" i="3"/>
  <c r="C58" i="3"/>
  <c r="C63" i="3"/>
  <c r="C69" i="3"/>
  <c r="C70" i="3"/>
  <c r="C71" i="3"/>
  <c r="C72" i="3"/>
  <c r="C73" i="3"/>
  <c r="C75" i="3"/>
  <c r="C76" i="3"/>
  <c r="C77" i="3"/>
  <c r="C78" i="3"/>
  <c r="C79" i="3"/>
  <c r="C80" i="3"/>
  <c r="C81" i="3"/>
  <c r="C83" i="3"/>
  <c r="C84" i="3"/>
  <c r="C85" i="3"/>
  <c r="C86" i="3"/>
  <c r="C87" i="3"/>
  <c r="C88" i="3"/>
  <c r="C89" i="3"/>
  <c r="C90" i="3"/>
  <c r="C91" i="3"/>
  <c r="C92" i="3"/>
  <c r="C93" i="3"/>
  <c r="C94" i="3"/>
  <c r="C95" i="3"/>
  <c r="C96" i="3"/>
  <c r="C97" i="3"/>
  <c r="C98" i="3"/>
  <c r="C99" i="3"/>
  <c r="C100" i="3"/>
  <c r="C101" i="3"/>
  <c r="C103" i="3"/>
  <c r="C104" i="3"/>
  <c r="C105" i="3"/>
  <c r="C106" i="3"/>
  <c r="C107" i="3"/>
  <c r="C108" i="3"/>
  <c r="C109" i="3"/>
  <c r="C110" i="3"/>
  <c r="C111" i="3"/>
  <c r="C112" i="3"/>
  <c r="C113" i="3"/>
  <c r="C114" i="3"/>
  <c r="C115" i="3"/>
  <c r="C116" i="3"/>
  <c r="C117" i="3"/>
  <c r="C119" i="3"/>
  <c r="C120" i="3"/>
  <c r="C121" i="3"/>
  <c r="C123" i="3"/>
  <c r="C124" i="3"/>
  <c r="C125" i="3"/>
  <c r="C126" i="3"/>
  <c r="C127" i="3"/>
  <c r="C128" i="3"/>
  <c r="C129" i="3"/>
  <c r="C149" i="3"/>
  <c r="C150" i="3"/>
  <c r="C151" i="3"/>
  <c r="C152" i="3"/>
  <c r="C154" i="3"/>
  <c r="C155" i="3"/>
  <c r="C156" i="3"/>
  <c r="C157" i="3"/>
  <c r="C158" i="3"/>
  <c r="C160" i="3"/>
  <c r="C161" i="3"/>
  <c r="C162" i="3"/>
  <c r="C163" i="3"/>
  <c r="C165" i="3"/>
  <c r="C166" i="3"/>
  <c r="C167" i="3"/>
  <c r="C168" i="3"/>
  <c r="C169" i="3"/>
  <c r="C170" i="3"/>
  <c r="C171" i="3"/>
  <c r="C172" i="3"/>
  <c r="C173" i="3"/>
  <c r="C174" i="3"/>
  <c r="C175" i="3"/>
  <c r="C176" i="3"/>
  <c r="C7" i="3"/>
  <c r="O38" i="4" l="1"/>
  <c r="K12" i="2"/>
  <c r="K5" i="1"/>
  <c r="K16" i="1"/>
  <c r="K10" i="1" l="1"/>
  <c r="K12" i="1" s="1"/>
  <c r="J10" i="1"/>
  <c r="K6" i="1"/>
  <c r="K15" i="2"/>
  <c r="K13" i="2"/>
  <c r="L13" i="2" s="1"/>
  <c r="K18" i="2" l="1"/>
  <c r="I18" i="2"/>
  <c r="K13" i="1"/>
  <c r="L13" i="1" s="1"/>
  <c r="L15" i="2"/>
  <c r="N14" i="2" s="1"/>
  <c r="K17" i="2"/>
  <c r="L17" i="2" s="1"/>
  <c r="K15" i="1"/>
  <c r="L15" i="1" s="1"/>
  <c r="K32" i="2" l="1"/>
  <c r="L18" i="2"/>
  <c r="G23" i="2"/>
  <c r="N16" i="2"/>
  <c r="K17" i="1"/>
  <c r="K23" i="2" l="1"/>
  <c r="K33" i="2" s="1"/>
  <c r="K34" i="2" s="1"/>
  <c r="K30" i="2"/>
  <c r="K31" i="2" s="1"/>
  <c r="N14" i="1"/>
  <c r="K21" i="1"/>
  <c r="L21" i="1" s="1"/>
  <c r="K19" i="1"/>
  <c r="L19" i="1" s="1"/>
  <c r="E28" i="1" s="1"/>
  <c r="K35" i="2" l="1"/>
  <c r="N18" i="1"/>
  <c r="K23" i="1"/>
  <c r="I23" i="1"/>
  <c r="K24" i="2" l="1"/>
  <c r="L24" i="2" s="1"/>
  <c r="G28" i="1"/>
  <c r="K35" i="1" s="1"/>
  <c r="K36" i="1" s="1"/>
  <c r="L23" i="1"/>
  <c r="K39" i="1"/>
  <c r="K28" i="1" l="1"/>
  <c r="K40" i="1" s="1"/>
  <c r="C35" i="2"/>
  <c r="K29" i="1" l="1"/>
  <c r="L29" i="1" s="1"/>
  <c r="K41" i="1"/>
  <c r="K42" i="1" s="1"/>
</calcChain>
</file>

<file path=xl/sharedStrings.xml><?xml version="1.0" encoding="utf-8"?>
<sst xmlns="http://schemas.openxmlformats.org/spreadsheetml/2006/main" count="769" uniqueCount="525">
  <si>
    <t>Sales Price</t>
  </si>
  <si>
    <t>Appraised Value</t>
  </si>
  <si>
    <t>Maximum Potential Guaranty</t>
  </si>
  <si>
    <t>x 25%</t>
  </si>
  <si>
    <t>VA Funding Fee</t>
  </si>
  <si>
    <t>Total Down Payment</t>
  </si>
  <si>
    <t>Veteran's Additional Down Payment</t>
  </si>
  <si>
    <t>Base Loan Amount before Funding Fee</t>
  </si>
  <si>
    <t>Total Note Loan Amount</t>
  </si>
  <si>
    <t>Available Entitlement &amp; Guaranty</t>
  </si>
  <si>
    <t>1) Required Guaranty &amp; Down Payment</t>
  </si>
  <si>
    <t>2) Available Guaranty</t>
  </si>
  <si>
    <t xml:space="preserve">County Limit (for Maximum Potential Guaranty Calculation): </t>
  </si>
  <si>
    <t>3) Down Payment</t>
  </si>
  <si>
    <t>Required Down Payment</t>
  </si>
  <si>
    <t>4) Maximum Loan Amount</t>
  </si>
  <si>
    <t xml:space="preserve">Less: Veteran's Additional Down Payment: </t>
  </si>
  <si>
    <t>Lesser of Sales Price/Appraisal</t>
  </si>
  <si>
    <t>$</t>
  </si>
  <si>
    <t>=</t>
  </si>
  <si>
    <t>-</t>
  </si>
  <si>
    <t>A</t>
  </si>
  <si>
    <t>B</t>
  </si>
  <si>
    <t>C</t>
  </si>
  <si>
    <t>D</t>
  </si>
  <si>
    <t>E</t>
  </si>
  <si>
    <t>F</t>
  </si>
  <si>
    <t>G</t>
  </si>
  <si>
    <t>H</t>
  </si>
  <si>
    <t>i</t>
  </si>
  <si>
    <t>I</t>
  </si>
  <si>
    <t>J</t>
  </si>
  <si>
    <t>K</t>
  </si>
  <si>
    <t>L</t>
  </si>
  <si>
    <t>M</t>
  </si>
  <si>
    <t>N</t>
  </si>
  <si>
    <t>O</t>
  </si>
  <si>
    <t>P</t>
  </si>
  <si>
    <t>Q</t>
  </si>
  <si>
    <t>R</t>
  </si>
  <si>
    <t>S</t>
  </si>
  <si>
    <t>H - D</t>
  </si>
  <si>
    <t>A - B</t>
  </si>
  <si>
    <t>If H &lt; D, then</t>
  </si>
  <si>
    <t>Maximum Allowable Base Loan Amount for this Transaction:</t>
  </si>
  <si>
    <t>Purchase Price</t>
  </si>
  <si>
    <t>Est. Prepaids</t>
  </si>
  <si>
    <t>Funding Fee</t>
  </si>
  <si>
    <t>Est. Closing Costs &amp; Discount Points</t>
  </si>
  <si>
    <t>Total Costs</t>
  </si>
  <si>
    <t>a</t>
  </si>
  <si>
    <t>b</t>
  </si>
  <si>
    <t>c</t>
  </si>
  <si>
    <t>d</t>
  </si>
  <si>
    <t>e</t>
  </si>
  <si>
    <t>f</t>
  </si>
  <si>
    <t>Seller-paid costs</t>
  </si>
  <si>
    <t>g</t>
  </si>
  <si>
    <t>Other credits</t>
  </si>
  <si>
    <t>h</t>
  </si>
  <si>
    <t>Funding Fee financed</t>
  </si>
  <si>
    <t>j</t>
  </si>
  <si>
    <t>k</t>
  </si>
  <si>
    <t>Base Loan Amount (excluding Funding Fee financed)</t>
  </si>
  <si>
    <t>Total Credits</t>
  </si>
  <si>
    <t>Cash from Borrower</t>
  </si>
  <si>
    <t>e - j</t>
  </si>
  <si>
    <t>Refinance Payoff</t>
  </si>
  <si>
    <t>Down Payment Due from Guaranty Shortfall:</t>
  </si>
  <si>
    <t xml:space="preserve">Down Payment Due from Appraisal Shortfall: </t>
  </si>
  <si>
    <t>3) Veteran's Required Equity</t>
  </si>
  <si>
    <t>Veteran's Required Equity Due from Guaranty Shortfall:</t>
  </si>
  <si>
    <r>
      <t xml:space="preserve">Less: Previously Used Entitlement </t>
    </r>
    <r>
      <rPr>
        <b/>
        <sz val="8"/>
        <rFont val="Arial"/>
        <family val="2"/>
      </rPr>
      <t>Not Restorable</t>
    </r>
  </si>
  <si>
    <t>Base LTV</t>
  </si>
  <si>
    <t>Total LTV</t>
  </si>
  <si>
    <t>Exemptions:</t>
  </si>
  <si>
    <t>1. Veterans receiving VA compensation for service-connected disabilities</t>
  </si>
  <si>
    <t>2. Veterans who would be entitled to receive compensation for service-connected disabilities if they did not receive retirement pay.</t>
  </si>
  <si>
    <t>3. Surviving spouses of veterans who died in service or from service-connected disabilities (regardless of whether such surviving spouses</t>
  </si>
  <si>
    <t>are veterans with their own entitlements and whether they are using their own entitlements on the loan).</t>
  </si>
  <si>
    <t>4. Veterans who are rated by the VA as eligible to receive compensation as a result of pre-discharge disaility examination and rating.</t>
  </si>
  <si>
    <t>Lesser of D or H</t>
  </si>
  <si>
    <t>= R(1)</t>
  </si>
  <si>
    <t>= R(2)</t>
  </si>
  <si>
    <t>R(1)</t>
  </si>
  <si>
    <t>R(2)</t>
  </si>
  <si>
    <t>5) Cash to Close</t>
  </si>
  <si>
    <t>A - L</t>
  </si>
  <si>
    <t xml:space="preserve"> - M</t>
  </si>
  <si>
    <t>B - I</t>
  </si>
  <si>
    <t>Down Payment</t>
  </si>
  <si>
    <t>6) Funding Fee Tables</t>
  </si>
  <si>
    <t>Circular 26-11-19 (Nov 22, 2011)</t>
  </si>
  <si>
    <t>Pacific Union Financial, LLC, 8900 Freeport Parkway, Suite 150, Irving, TX 75063. California DOC CFL 6053971,CRMLA # 4150081, #NMLS-2221. The information contained herein is for informational purposes only and is not intended and should not be construed as legal advice. This information is not intended to be relied on by third parties. For business and professional use only. Not for consumer distribution.  The approval conditions are subject to change at any time without notice. Terms and conditions apply. Other restrictions and limitations may apply. This is not a commitment to lend. All rights reserved. Property of Pacific Union Financial, LLC. Equal Housing Lender.</t>
  </si>
  <si>
    <t>State County</t>
  </si>
  <si>
    <t>2013 VA Loan</t>
  </si>
  <si>
    <t>Limit Regional Loan Center</t>
  </si>
  <si>
    <t>AK ALEUTIANS EAST 625,500 DENVER</t>
  </si>
  <si>
    <t>AK ALEUTIANS WEST 625,500 DENVER</t>
  </si>
  <si>
    <t>AK ANCHORAGE 625,500 DENVER</t>
  </si>
  <si>
    <t>AK BETHEL 625,500 DENVER</t>
  </si>
  <si>
    <t>AK BRISTOL BAY 625,500 DENVER</t>
  </si>
  <si>
    <t>AK DENALI 625,500 DENVER</t>
  </si>
  <si>
    <t>AK DILLINGHAM 625,500 DENVER</t>
  </si>
  <si>
    <t>AK FAIRBANKS NORTH 625,500 DENVER</t>
  </si>
  <si>
    <t>AK HAINES 625,500 DENVER</t>
  </si>
  <si>
    <t>AK HOONAH-ANGOON C 625,500 DENVER</t>
  </si>
  <si>
    <t>AK JUNEAU 625,500 DENVER</t>
  </si>
  <si>
    <t>AK KENAI PENINSULA 625,500 DENVER</t>
  </si>
  <si>
    <t>AK KETCHIKAN GATEW 625,500 DENVER</t>
  </si>
  <si>
    <t>AK KODIAK ISLAND 625,500 DENVER</t>
  </si>
  <si>
    <t>AK LAKE AND PENINS 625,500 DENVER</t>
  </si>
  <si>
    <t>AK MATANUSKA-SUSIT 625,500 DENVER</t>
  </si>
  <si>
    <t>AK NOME 625,500 DENVER</t>
  </si>
  <si>
    <t>AK NORTH SLOPE 625,500 DENVER</t>
  </si>
  <si>
    <t>AK NORTHWEST ARCTI 625,500 DENVER</t>
  </si>
  <si>
    <t>AK PETERSBURG CENS 625,500 DENVER</t>
  </si>
  <si>
    <t>AK PRINCE OF WALES 625,500 DENVER</t>
  </si>
  <si>
    <t>AK SITKA 625,500 DENVER</t>
  </si>
  <si>
    <t>AK SKAGWAY MUNICIP 625,500 DENVER</t>
  </si>
  <si>
    <t>AK SOUTHEAST FAIRB 625,500 DENVER</t>
  </si>
  <si>
    <t>AK VALDEZ-CORDOVA 625,500 DENVER</t>
  </si>
  <si>
    <t>AK WADE HAMPTON 625,500 DENVER</t>
  </si>
  <si>
    <t>AK WRANGELL CITY A 625,500 DENVER</t>
  </si>
  <si>
    <t>AK YAKUTAT CITY 625,500 DENVER</t>
  </si>
  <si>
    <t>AK YUKON-KOYUKUK 625,500 DENVER</t>
  </si>
  <si>
    <t>CA ALAMEDA 987,500 PHOENIX</t>
  </si>
  <si>
    <t>CA CONTRA COSTA 987,500 PHOENIX</t>
  </si>
  <si>
    <t>CA LOS ANGELES 668,750 PHOENIX</t>
  </si>
  <si>
    <t>CA MARIN 987,500 PHOENIX</t>
  </si>
  <si>
    <t>CA MONTEREY 425,000 PHOENIX</t>
  </si>
  <si>
    <t>CA NAPA 521,250 PHOENIX</t>
  </si>
  <si>
    <t>CA ORANGE 668,750 PHOENIX</t>
  </si>
  <si>
    <t>CA SAN BENITO 823,750 PHOENIX</t>
  </si>
  <si>
    <t>CA SAN DIEGO 500,000 PHOENIX</t>
  </si>
  <si>
    <t>CA SAN FRANCISCO 987,500 PHOENIX</t>
  </si>
  <si>
    <t>CA SAN LUIS OBISPO 481,250 PHOENIX</t>
  </si>
  <si>
    <t>CA SAN MATEO 987,500 PHOENIX</t>
  </si>
  <si>
    <t>CA SANTA BARBARA 593,750 PHOENIX</t>
  </si>
  <si>
    <t>CA SANTA CLARA 823,750 PHOENIX</t>
  </si>
  <si>
    <t>CA SANTA CRUZ 668,750 PHOENIX</t>
  </si>
  <si>
    <t>CA SONOMA 448,750 PHOENIX</t>
  </si>
  <si>
    <t>CA VENTURA 546,250 PHOENIX</t>
  </si>
  <si>
    <t>CO BOULDER 443,750 DENVER</t>
  </si>
  <si>
    <t>CO EAGLE 712,500 DENVER</t>
  </si>
  <si>
    <t>CO PITKIN 1,094,625 DENVER</t>
  </si>
  <si>
    <t>CO ROUTT 550,000 DENVER</t>
  </si>
  <si>
    <t>CO SUMMIT 667,500 DENVER</t>
  </si>
  <si>
    <t>CT FAIRFIELD 612,500 CLEVELAND</t>
  </si>
  <si>
    <t>DC DISTRICT OF COL 843,750 ROANOKE</t>
  </si>
  <si>
    <t>GU GUAM 625,500 HONOLULU</t>
  </si>
  <si>
    <t>HI HAWAII 625,500 HONOLULU</t>
  </si>
  <si>
    <t>HI HONOLULU 750,000 HONOLULU</t>
  </si>
  <si>
    <t>HI KALAWAO 625,500 HONOLULU</t>
  </si>
  <si>
    <t>HI KAUAI 625,500 HONOLULU</t>
  </si>
  <si>
    <t>HI MAUI 625,500 HONOLULU</t>
  </si>
  <si>
    <t>ID TETON 635,000 DENVER</t>
  </si>
  <si>
    <t>MA DUKES 723,750 CLEVELAND</t>
  </si>
  <si>
    <t>MA ESSEX 500,000 CLEVELAND</t>
  </si>
  <si>
    <t>MA MIDDLESEX 500,000 CLEVELAND</t>
  </si>
  <si>
    <t>MA NANTUCKET 1,094,625 CLEVELAND</t>
  </si>
  <si>
    <t>MA NORFOLK 500,000 CLEVELAND</t>
  </si>
  <si>
    <t>MA PLYMOUTH 500,000 CLEVELAND</t>
  </si>
  <si>
    <t>MA SUFFOLK 500,000 CLEVELAND</t>
  </si>
  <si>
    <t>MD ANNE ARUNDEL 500,000 ROANOKE</t>
  </si>
  <si>
    <t>MD BALTIMORE 500,000 ROANOKE</t>
  </si>
  <si>
    <t>MD BALTIMORE CITY 500,000 ROANOKE</t>
  </si>
  <si>
    <t>MD CALVERT 843,750 ROANOKE</t>
  </si>
  <si>
    <t>MD CARROLL 500,000 ROANOKE</t>
  </si>
  <si>
    <t>MD CHARLES 843,750 ROANOKE</t>
  </si>
  <si>
    <t>MD FREDERICK 843,750 ROANOKE</t>
  </si>
  <si>
    <t>MD HARFORD 500,000 ROANOKE</t>
  </si>
  <si>
    <t>MD HOWARD 500,000 ROANOKE</t>
  </si>
  <si>
    <t>MD MONTGOMERY 843,750 ROANOKE</t>
  </si>
  <si>
    <t>MD PRINCE GEORGE'S 843,750 ROANOKE</t>
  </si>
  <si>
    <t>MD QUEEN ANNE'S 500,000 ROANOKE</t>
  </si>
  <si>
    <t>NH ROCKINGHAM 500,000 CLEVELAND</t>
  </si>
  <si>
    <t>NH STRAFFORD 500,000 CLEVELAND</t>
  </si>
  <si>
    <t>NJ BERGEN 722,500 CLEVELAND</t>
  </si>
  <si>
    <t>NJ ESSEX 722,500 CLEVELAND</t>
  </si>
  <si>
    <t>NJ HUDSON 722,500 CLEVELAND</t>
  </si>
  <si>
    <t>NJ HUNTERDON 722,500 CLEVELAND</t>
  </si>
  <si>
    <t>NJ MIDDLESEX 722,500 CLEVELAND</t>
  </si>
  <si>
    <t>NJ MONMOUTH 722,500 CLEVELAND</t>
  </si>
  <si>
    <t>NJ MORRIS 722,500 CLEVELAND</t>
  </si>
  <si>
    <t>NJ OCEAN 722,500 CLEVELAND</t>
  </si>
  <si>
    <t>NJ PASSAIC 722,500 CLEVELAND</t>
  </si>
  <si>
    <t>NJ SOMERSET 722,500 CLEVELAND</t>
  </si>
  <si>
    <t>NJ SUSSEX 722,500 CLEVELAND</t>
  </si>
  <si>
    <t>NJ UNION 722,500 CLEVELAND</t>
  </si>
  <si>
    <t>NY BRONX 722,500 CLEVELAND</t>
  </si>
  <si>
    <t>NY KINGS 722,500 CLEVELAND</t>
  </si>
  <si>
    <t>NY NASSAU 722,500 CLEVELAND</t>
  </si>
  <si>
    <t>NY NEW YORK 722,500 CLEVELAND</t>
  </si>
  <si>
    <t>NY PUTNAM 722,500 CLEVELAND</t>
  </si>
  <si>
    <t>NY QUEENS 722,500 CLEVELAND</t>
  </si>
  <si>
    <t>NY RICHMOND 722,500 CLEVELAND</t>
  </si>
  <si>
    <t>NY ROCKLAND 722,500 CLEVELAND</t>
  </si>
  <si>
    <t>NY SUFFOLK 722,500 CLEVELAND</t>
  </si>
  <si>
    <t>NY WESTCHESTER 722,500 CLEVELAND</t>
  </si>
  <si>
    <t>PA PIKE 722,500 CLEVELAND</t>
  </si>
  <si>
    <t>UT SUMMIT 650,000 DENVER</t>
  </si>
  <si>
    <t>VA ALEXANDRIA 843,750 ROANOKE</t>
  </si>
  <si>
    <t>VA ARLINGTON 843,750 ROANOKE</t>
  </si>
  <si>
    <t>VA CLARKE 843,750 ROANOKE</t>
  </si>
  <si>
    <t>VA FAIRFAX 843,750 ROANOKE</t>
  </si>
  <si>
    <t>VA FAIRFAX IND 843,750 ROANOKE</t>
  </si>
  <si>
    <t>VA FALLS CHURCH 843,750 ROANOKE</t>
  </si>
  <si>
    <t>VA FAUQUIER 843,750 ROANOKE</t>
  </si>
  <si>
    <t>VA FREDERICKSBURG 843,750 ROANOKE</t>
  </si>
  <si>
    <t>VA LOUDOUN 843,750 ROANOKE</t>
  </si>
  <si>
    <t>VA MANASSAS 843,750 ROANOKE</t>
  </si>
  <si>
    <t>VA MANASSAS PARK 843,750 ROANOKE</t>
  </si>
  <si>
    <t>VA PRINCE WILLIAM 843,750 ROANOKE</t>
  </si>
  <si>
    <t>VA SPOTSYLVANIA 843,750 ROANOKE</t>
  </si>
  <si>
    <t>VA STAFFORD 843,750 ROANOKE</t>
  </si>
  <si>
    <t>VA WARREN 843,750 ROANOKE</t>
  </si>
  <si>
    <t>VI ST. CROIX 625,500 ST. PETERSBURG</t>
  </si>
  <si>
    <t>VI ST. JOHN,VI 630,000 ST. PETERSBURG</t>
  </si>
  <si>
    <t>VI ST. THOMAS 625,500 ST. PETERSBURG</t>
  </si>
  <si>
    <t>WA KING 500,000 DENVER</t>
  </si>
  <si>
    <t>WA PIERCE 500,000 DENVER</t>
  </si>
  <si>
    <t>WA SAN JUAN 468,750 DENVER</t>
  </si>
  <si>
    <t>WA SNOHOMISH 500,000 DENVER</t>
  </si>
  <si>
    <t>WV JEFFERSON 843,750 ROANOKE</t>
  </si>
  <si>
    <t>WY TETON 635,000 DENVER</t>
  </si>
  <si>
    <t>Regional Loan Center</t>
  </si>
  <si>
    <t>DENVER</t>
  </si>
  <si>
    <t>ST. PETERSBURG</t>
  </si>
  <si>
    <t>PHOENIX</t>
  </si>
  <si>
    <t>CLEVELAND</t>
  </si>
  <si>
    <t>ROANOKE</t>
  </si>
  <si>
    <t>HONOLULU</t>
  </si>
  <si>
    <t>OTHER</t>
  </si>
  <si>
    <t>State - County</t>
  </si>
  <si>
    <t>AK - ALEUTIANS EAST</t>
  </si>
  <si>
    <t>AK - ALEUTIANS WEST</t>
  </si>
  <si>
    <t xml:space="preserve">AK - BRISTOL BAY </t>
  </si>
  <si>
    <t>AK - NOME</t>
  </si>
  <si>
    <t>AK - YAKUTAT CITY</t>
  </si>
  <si>
    <t>CA - NAPA</t>
  </si>
  <si>
    <t>CA - SANTA CRUZ</t>
  </si>
  <si>
    <t>GU - GUAM</t>
  </si>
  <si>
    <t>HI - MAUI</t>
  </si>
  <si>
    <t>MD - BALTIMORE CITY</t>
  </si>
  <si>
    <t>NY - NEW YORK</t>
  </si>
  <si>
    <t>PA - PIKE</t>
  </si>
  <si>
    <t>VA - MANASSAS PARK</t>
  </si>
  <si>
    <t>WA - KING</t>
  </si>
  <si>
    <t>WA - SAN JUAN</t>
  </si>
  <si>
    <t>Index Lookup</t>
  </si>
  <si>
    <t>ALL OTHER COUNTIES</t>
  </si>
  <si>
    <t>AK - FAIRBANKS NORTH</t>
  </si>
  <si>
    <t>AK - KENAI PENINSULA</t>
  </si>
  <si>
    <t>AK - KETCHIKAN GATEWAY</t>
  </si>
  <si>
    <t>AK - KODIAK ISLAND</t>
  </si>
  <si>
    <t>AK - LAKE AND PENINSULA</t>
  </si>
  <si>
    <t>AK - NORTH SLOPE</t>
  </si>
  <si>
    <t>AK - HOONAH-ANGOON</t>
  </si>
  <si>
    <t>AK - MATANUSKA-SUSITNA</t>
  </si>
  <si>
    <t>AK - NORTHWEST ARCTIC</t>
  </si>
  <si>
    <t>AK - PETERSBURG</t>
  </si>
  <si>
    <t>AK - SITKA</t>
  </si>
  <si>
    <t>AK - SKAGWAY</t>
  </si>
  <si>
    <t>AK - SOUTHEAST FAIRBANKS</t>
  </si>
  <si>
    <t>AK - VALDEZ-CORDOVA</t>
  </si>
  <si>
    <t>AK - WADE HAMPTON</t>
  </si>
  <si>
    <t>AK - WRANGELL CITY</t>
  </si>
  <si>
    <t>AK - YUKON-KOYUKUK</t>
  </si>
  <si>
    <t>CA - CONTRA COSTA</t>
  </si>
  <si>
    <t>CA - MARIN</t>
  </si>
  <si>
    <t>CA - MONTEREY</t>
  </si>
  <si>
    <t>CA - ORANGE</t>
  </si>
  <si>
    <t>CA - SAN BENITO</t>
  </si>
  <si>
    <t>CA - SAN DIEGO</t>
  </si>
  <si>
    <t>CA - SAN FRANCISCO</t>
  </si>
  <si>
    <t>CA - SAN LUIS OBISPO</t>
  </si>
  <si>
    <t>CA - SAN MATEO</t>
  </si>
  <si>
    <t>CA - SANTA BARBARA</t>
  </si>
  <si>
    <t>CA - SANTA CLARA</t>
  </si>
  <si>
    <t>CA - SONOMA</t>
  </si>
  <si>
    <t>CA - VENTURA</t>
  </si>
  <si>
    <t>CO - BOULDER</t>
  </si>
  <si>
    <t>CO - EAGLE</t>
  </si>
  <si>
    <t>CO - PITKIN</t>
  </si>
  <si>
    <t>CO - ROUTT</t>
  </si>
  <si>
    <t>CO - SUMMIT</t>
  </si>
  <si>
    <t>CT - FAIRFIELD</t>
  </si>
  <si>
    <t>HI - HAWAII</t>
  </si>
  <si>
    <t>HI - HONOLULU</t>
  </si>
  <si>
    <t>HI - KALAWAO</t>
  </si>
  <si>
    <t>HI - KAUAI</t>
  </si>
  <si>
    <t>MA - DUKES</t>
  </si>
  <si>
    <t>MA - ESSEX</t>
  </si>
  <si>
    <t>MA - MIDDLESEX</t>
  </si>
  <si>
    <t>MA - NANTUCKET</t>
  </si>
  <si>
    <t>MA - NORFOLK</t>
  </si>
  <si>
    <t>MA - PLYMOUTH</t>
  </si>
  <si>
    <t>MA - SUFFOLK</t>
  </si>
  <si>
    <t>MD - ANNE ARUNDEL</t>
  </si>
  <si>
    <t>MD - BALTIMORE</t>
  </si>
  <si>
    <t>MD - CALVERT</t>
  </si>
  <si>
    <t>MD - CARROLL</t>
  </si>
  <si>
    <t>MD - CHARLES</t>
  </si>
  <si>
    <t>MD - FREDERICK</t>
  </si>
  <si>
    <t>MD - HARFORD</t>
  </si>
  <si>
    <t>MD - HOWARD</t>
  </si>
  <si>
    <t>MD - MONTGOMERY</t>
  </si>
  <si>
    <t>MD - PRINCE GEORGE'S</t>
  </si>
  <si>
    <t>MD - QUEEN ANNE'S</t>
  </si>
  <si>
    <t>NH - ROCKINGHAM</t>
  </si>
  <si>
    <t>NH - STRAFFORD</t>
  </si>
  <si>
    <t>NJ - BERGEN</t>
  </si>
  <si>
    <t>NJ - ESSEX</t>
  </si>
  <si>
    <t>NJ - HUDSON</t>
  </si>
  <si>
    <t>NJ - HUNTERDON</t>
  </si>
  <si>
    <t>NJ - MIDDLESEX</t>
  </si>
  <si>
    <t>NJ - MONMOUTH</t>
  </si>
  <si>
    <t>NJ - MORRIS</t>
  </si>
  <si>
    <t>NJ - OCEAN</t>
  </si>
  <si>
    <t>NJ - PASSAIC</t>
  </si>
  <si>
    <t>NJ - SOMERSET</t>
  </si>
  <si>
    <t>NJ - SUSSEX</t>
  </si>
  <si>
    <t>NJ - UNION</t>
  </si>
  <si>
    <t>NY - BRONX</t>
  </si>
  <si>
    <t>NY - KINGS</t>
  </si>
  <si>
    <t>NY - NASSAU</t>
  </si>
  <si>
    <t>NY - PUTNAM</t>
  </si>
  <si>
    <t>NY - QUEENS</t>
  </si>
  <si>
    <t>NY - RICHMOND</t>
  </si>
  <si>
    <t>NY - ROCKLAND</t>
  </si>
  <si>
    <t>NY - SUFFOLK</t>
  </si>
  <si>
    <t>NY - WESTCHESTER</t>
  </si>
  <si>
    <t>UT - SUMMIT</t>
  </si>
  <si>
    <t>VA - ARLINGTON</t>
  </si>
  <si>
    <t>VA - CLARKE</t>
  </si>
  <si>
    <t>VA - FAUQUIER</t>
  </si>
  <si>
    <t>VA - FREDERICKSBURG</t>
  </si>
  <si>
    <t>VA - LOUDOUN</t>
  </si>
  <si>
    <t>VA - PRINCE WILLIAM</t>
  </si>
  <si>
    <t>VA - SPOTSYLVANIA</t>
  </si>
  <si>
    <t>VA - STAFFORD</t>
  </si>
  <si>
    <t>VA - WARREN</t>
  </si>
  <si>
    <t>WA - PIERCE</t>
  </si>
  <si>
    <t>WA - SNOHOMISH</t>
  </si>
  <si>
    <t>WV - JEFFERSON</t>
  </si>
  <si>
    <t>WY - TETON</t>
  </si>
  <si>
    <t>AK - BETHEL</t>
  </si>
  <si>
    <t>AK - DENALI</t>
  </si>
  <si>
    <t>AK - DILLINGHAM</t>
  </si>
  <si>
    <t>AK - HAINES</t>
  </si>
  <si>
    <t>AK - JUNEAU</t>
  </si>
  <si>
    <t>DC - DISTRICT OF COLUMBIA</t>
  </si>
  <si>
    <t>AK - PRINCE OF WALES</t>
  </si>
  <si>
    <t>%</t>
  </si>
  <si>
    <t>Loan Type</t>
  </si>
  <si>
    <t>Existing VA Loan Balance (Plus Cost of Energy Efficient Improvements)</t>
  </si>
  <si>
    <t>TOTAL</t>
  </si>
  <si>
    <t>Total From Line 3</t>
  </si>
  <si>
    <t>Add</t>
  </si>
  <si>
    <t>+</t>
  </si>
  <si>
    <t>Add Other Allowable Closing Costs and Prepaids</t>
  </si>
  <si>
    <t>SECTION I - INITIAL COMPUTATION</t>
  </si>
  <si>
    <t>Subtract Any Cash Payment From Veteran</t>
  </si>
  <si>
    <t>SECTION II - PRELIMINARY LOAN AMOUNT</t>
  </si>
  <si>
    <t>% Discount Based on Line 4</t>
  </si>
  <si>
    <t>SECTION III - FINAL COMPUTATION</t>
  </si>
  <si>
    <t>Total From Line 9</t>
  </si>
  <si>
    <t>SUBTOTAL</t>
  </si>
  <si>
    <t>Subtract Amount Shown on Line 5</t>
  </si>
  <si>
    <t>Subtract Amount Shown on Line 7</t>
  </si>
  <si>
    <t>TOTAL - MAXIMUM LOAN AMOUNT</t>
  </si>
  <si>
    <t>$*</t>
  </si>
  <si>
    <t>LINE NO.</t>
  </si>
  <si>
    <t>ITEM</t>
  </si>
  <si>
    <t>AMOUNT</t>
  </si>
  <si>
    <t>Name Of Lender</t>
  </si>
  <si>
    <t>Date</t>
  </si>
  <si>
    <t>Signature and Title of Officer of Lender</t>
  </si>
  <si>
    <t>NOTE: Submit this form when requesting guaranty on an Interest Rate Reduction Refinancing Loan.</t>
  </si>
  <si>
    <t>VA Loan Number</t>
  </si>
  <si>
    <t>PRIVACY ACT NOTICE: VA will not disclose information collected on this form to any source other than what has been authorized under the Privacy Act of 1974 or Title 38, Code of Federal Regulations 1.576 for routine uses (i.e., to a member of Congress inquiring on behalf of a veteran) as identified in the VA system of records, 55VA26, Loan Guaranty Home, Condominium and Manufactured Home Loan Applicant Records, Specially Adapted Housing Applicant Records, and Vendee Loan Applicant Records - VA, and published in the Federal Register. Your obligation to respond is voluntary; however, failure to complete the form could result in your making a loan in excess of the allowable amount.</t>
  </si>
  <si>
    <t>RESPONDENT BURDEN: This information is needed to help you determine the appropriate amount of the VA-guaranteed loan you intend to process. Title 38, United States Code, allows us to ask for this information. We estimate that you will need an average of 10 minutes to review the instructions, find the information, and complete this form. VA cannot conduct or sponsor a collection of information unless a valid OMB control number is displayed. You are not required to respond to a collection of information if this number is not displayed. Valid OMB control numbers can be located on the OMB Internet Page www.whitehouse.gov/omb/library/OMBINV.VA.EPA.html#VA. If desired, you can call 1-800-827-1000 to get information on where to send comments or suggestions about this form.</t>
  </si>
  <si>
    <r>
      <t xml:space="preserve">VA Loan Limit Calculator - </t>
    </r>
    <r>
      <rPr>
        <b/>
        <sz val="12"/>
        <color rgb="FF008000"/>
        <rFont val="Arial"/>
        <family val="2"/>
      </rPr>
      <t>Purchases</t>
    </r>
  </si>
  <si>
    <r>
      <t xml:space="preserve">VA Loan Limit Calculator - </t>
    </r>
    <r>
      <rPr>
        <b/>
        <sz val="12"/>
        <color rgb="FF008000"/>
        <rFont val="Arial"/>
        <family val="2"/>
      </rPr>
      <t>Interest Rate Reduction Refinancing Loan Worksheet</t>
    </r>
  </si>
  <si>
    <t>VA FORM</t>
  </si>
  <si>
    <t>JUN 2009</t>
  </si>
  <si>
    <t>26-8923</t>
  </si>
  <si>
    <t>EXISTING STOCKS OF VA FORM 26-8923, SEP 2006,
WILL BE USED.</t>
  </si>
  <si>
    <t>NOTE: * Maximum loan amount may be rounded off, but must always be rounded down to avoid cash to the veteran. 
               Round-off amounts of less than $50 do not require recomputation.</t>
  </si>
  <si>
    <t>CA - EL DORADO</t>
  </si>
  <si>
    <t>CA - SACRAMENTO</t>
  </si>
  <si>
    <t>CA - PLACER</t>
  </si>
  <si>
    <t>CA - YOLO</t>
  </si>
  <si>
    <t>CO - ADAMS</t>
  </si>
  <si>
    <t>CO - ARAPAHOE</t>
  </si>
  <si>
    <t>CO - BROOMFIELD</t>
  </si>
  <si>
    <t>CO - CLEAR CREEK</t>
  </si>
  <si>
    <t>CO - DENVER</t>
  </si>
  <si>
    <t>CO - DOUGLAS</t>
  </si>
  <si>
    <t>CO - ELBERT</t>
  </si>
  <si>
    <t>CO - GARFIELD</t>
  </si>
  <si>
    <t>CO - GILPIN</t>
  </si>
  <si>
    <t>CO - JEFFERSON</t>
  </si>
  <si>
    <t>CO - PARK</t>
  </si>
  <si>
    <t>MA - BRISTOL</t>
  </si>
  <si>
    <t>MP - ANA ISLANDSTINIAN MUNICIPALITY</t>
  </si>
  <si>
    <t>NY - DUTCHESS</t>
  </si>
  <si>
    <t>NY - ORANGE</t>
  </si>
  <si>
    <t>RI - BRISTOL</t>
  </si>
  <si>
    <t>RI - KENT</t>
  </si>
  <si>
    <t>RI - NEWPORT</t>
  </si>
  <si>
    <t>RI - PROVIDENCE</t>
  </si>
  <si>
    <t>RI - WASHINGTON</t>
  </si>
  <si>
    <t>TN - CANNON</t>
  </si>
  <si>
    <t>TN - CHEATHAM</t>
  </si>
  <si>
    <t>TN - DAVIDSON</t>
  </si>
  <si>
    <t>TN - DICKSON</t>
  </si>
  <si>
    <t>TN - HICKMAN</t>
  </si>
  <si>
    <t>TN - MACON</t>
  </si>
  <si>
    <t>TN - MAURY</t>
  </si>
  <si>
    <t>TN - ROBERTSON</t>
  </si>
  <si>
    <t>TN - RUTHERFORD</t>
  </si>
  <si>
    <t>TN - SMITH</t>
  </si>
  <si>
    <t>TN - SUMNER</t>
  </si>
  <si>
    <t>TN - TROUSDALE</t>
  </si>
  <si>
    <t>TN - WILLIAMSON</t>
  </si>
  <si>
    <t>TN - WILSON</t>
  </si>
  <si>
    <t>VA - ALEXANDRIA CITY</t>
  </si>
  <si>
    <t>VA - CULPEPER</t>
  </si>
  <si>
    <t>VA - FAIRFAX COUNTY</t>
  </si>
  <si>
    <t>VA - FAIRFAX CITY</t>
  </si>
  <si>
    <t>VA - FALLS CHURCH CITY</t>
  </si>
  <si>
    <t>VA - LANCASTER</t>
  </si>
  <si>
    <t>VA - MANASSAS CITY</t>
  </si>
  <si>
    <t>VA - RAPPAHANNOCK</t>
  </si>
  <si>
    <t>VI - ST. CROIX ISLAND</t>
  </si>
  <si>
    <t>VI - ST. JOHN ISLAND</t>
  </si>
  <si>
    <t>VI - ST. THOMAS ISLAND</t>
  </si>
  <si>
    <t>AK - ANCHORAGE MUNICIPALITY</t>
  </si>
  <si>
    <t>CA - ALAMEDA COUNTY</t>
  </si>
  <si>
    <t>CA - LOS ANGELES COUNTY</t>
  </si>
  <si>
    <t>FL - MONROE COUNTY</t>
  </si>
  <si>
    <t>ID - TETON COUNTY</t>
  </si>
  <si>
    <t>2014 VA Loan Limit</t>
  </si>
  <si>
    <t>Required 25% Coverage (Based on Lower of Sales Price/Apprsaised Value)</t>
  </si>
  <si>
    <t>Final Guaranty charged to Veteran's Entitlement</t>
  </si>
  <si>
    <t>If A &gt; B, then</t>
  </si>
  <si>
    <t>Q + R</t>
  </si>
  <si>
    <t>P + Q</t>
  </si>
  <si>
    <t>Please Select Loan Type From Dropdown:</t>
  </si>
  <si>
    <t>Please Select County From Dropdown (Formatted as "State - County"):</t>
  </si>
  <si>
    <t>STANDARD</t>
  </si>
  <si>
    <t>SPECIALTY</t>
  </si>
  <si>
    <t>% Origination Fee Based on Line 4</t>
  </si>
  <si>
    <t>% Funding Fee Based on Line 4</t>
  </si>
  <si>
    <t>LOAN TYPE SELECTION</t>
  </si>
  <si>
    <t>1a) Loan Type</t>
  </si>
  <si>
    <t>1b) Required Guaranty &amp; Down Payment</t>
  </si>
  <si>
    <t>CAIVRS Number</t>
  </si>
  <si>
    <t>% Funding Fee Based on Line 16 (Value from Line 7)</t>
  </si>
  <si>
    <t>% Discount Based on Line 10 (Value from Line 5)</t>
  </si>
  <si>
    <r>
      <t xml:space="preserve">VA Loan Amount Calculator - </t>
    </r>
    <r>
      <rPr>
        <b/>
        <sz val="12"/>
        <color indexed="17"/>
        <rFont val="Arial"/>
        <family val="2"/>
      </rPr>
      <t>Cash-Out Refi</t>
    </r>
  </si>
  <si>
    <t>Check If Regular Military (uncheck if Reserves/National Guard)</t>
  </si>
  <si>
    <t>Check If First Time Use (uncheck if Subsequent Use)</t>
  </si>
  <si>
    <t>Required 25% Coverage (Based on Lower of Appraised Value)</t>
  </si>
  <si>
    <t>Exempt (leave unchecked if not exempt)</t>
  </si>
  <si>
    <t>CA - ALPINE</t>
  </si>
  <si>
    <t>CO - LAKE</t>
  </si>
  <si>
    <t>CO - OURAY</t>
  </si>
  <si>
    <t>FL - COLLIER</t>
  </si>
  <si>
    <t>GA - GREENE</t>
  </si>
  <si>
    <t>ID - BLAINE</t>
  </si>
  <si>
    <t>ID - CAMAS</t>
  </si>
  <si>
    <t>ID - LINCOLN</t>
  </si>
  <si>
    <t>MP - ANA ISLANDSNORTHERN ISLAND</t>
  </si>
  <si>
    <t>MP - ANA ISLANDSSAIPAN MUNICIPALITY</t>
  </si>
  <si>
    <t>NC - CAMDEN</t>
  </si>
  <si>
    <t>NC - CURRITUCK</t>
  </si>
  <si>
    <t>NC - GATES</t>
  </si>
  <si>
    <t>NC - HYDE</t>
  </si>
  <si>
    <t>NC - PASQUOTANK</t>
  </si>
  <si>
    <t>NC - PERQUIMANS</t>
  </si>
  <si>
    <t>UT - SALT LAKE</t>
  </si>
  <si>
    <t>UT - TOOELE</t>
  </si>
  <si>
    <t>VA - ALBEMARLE</t>
  </si>
  <si>
    <t>VA - AMELIA</t>
  </si>
  <si>
    <t>VA - BUCKINGHAM</t>
  </si>
  <si>
    <t>VA - CAROLINE</t>
  </si>
  <si>
    <t>VA - CHARLES CITY</t>
  </si>
  <si>
    <t>VA - CHARLOTTESVILLE</t>
  </si>
  <si>
    <t>VA - CHESAPEAKE CITY</t>
  </si>
  <si>
    <t>VA - COLONIAL HEIGHT</t>
  </si>
  <si>
    <t>VA - CUMBERLAND</t>
  </si>
  <si>
    <t>VA - DINWIDDIE</t>
  </si>
  <si>
    <t>VA - FLUVANNA</t>
  </si>
  <si>
    <t>VA - GLOUCESTER</t>
  </si>
  <si>
    <t>VA - GOOCHLAND</t>
  </si>
  <si>
    <t>VA - GREENE</t>
  </si>
  <si>
    <t>VA - HAMPTON CITY</t>
  </si>
  <si>
    <t>VA - HANOVER</t>
  </si>
  <si>
    <t>VA - HENRICO</t>
  </si>
  <si>
    <t>VA - HOPEWELL CITY</t>
  </si>
  <si>
    <t>VA - ISLE OF WIGHT</t>
  </si>
  <si>
    <t>VA - JAMES CITY</t>
  </si>
  <si>
    <t>VA - KING AND QUEEN</t>
  </si>
  <si>
    <t>VA - KING WILLIAM</t>
  </si>
  <si>
    <t>VA - LOUISA</t>
  </si>
  <si>
    <t>VA - MATHEWS</t>
  </si>
  <si>
    <t>VA - NELSON</t>
  </si>
  <si>
    <t>VA - NEW KENT</t>
  </si>
  <si>
    <t>VA - NEWPORT NEWS</t>
  </si>
  <si>
    <t>VA - NORFOLK CITY</t>
  </si>
  <si>
    <t>VA - PETERSBERG CITY</t>
  </si>
  <si>
    <t>VA - POQUOSON CITY</t>
  </si>
  <si>
    <t>VA - PORTSMOUTH CITY</t>
  </si>
  <si>
    <t>VA - POWHATAN</t>
  </si>
  <si>
    <t>VA - PRINCE GEORGE</t>
  </si>
  <si>
    <t>VA - RICHMOND CITY</t>
  </si>
  <si>
    <t>VA - SUFFOLK CITY</t>
  </si>
  <si>
    <t>VA - SURRY</t>
  </si>
  <si>
    <t>VA - SUSSEX</t>
  </si>
  <si>
    <t>VA - VIRGINIA BEACH</t>
  </si>
  <si>
    <t>VA - WILLIAMSBERG CITY</t>
  </si>
  <si>
    <t>VA - YORK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</si>
</sst>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0.0%"/>
    <numFmt numFmtId="165" formatCode="&quot;$&quot;#,##0.00"/>
  </numFmts>
  <fonts count="25" x14ac:knownFonts="1">
    <font>
      <sz val="8"/>
      <name val="Arial"/>
    </font>
    <font>
      <sz val="8"/>
      <name val="Arial"/>
      <family val="2"/>
    </font>
    <font>
      <b/>
      <sz val="8"/>
      <name val="Arial"/>
      <family val="2"/>
    </font>
    <font>
      <sz val="8"/>
      <name val="Arial"/>
      <family val="2"/>
    </font>
    <font>
      <b/>
      <sz val="12"/>
      <color indexed="12"/>
      <name val="Arial"/>
      <family val="2"/>
    </font>
    <font>
      <b/>
      <sz val="8"/>
      <color indexed="10"/>
      <name val="Arial"/>
      <family val="2"/>
    </font>
    <font>
      <b/>
      <sz val="10"/>
      <name val="Arial"/>
      <family val="2"/>
    </font>
    <font>
      <u/>
      <sz val="8"/>
      <color indexed="12"/>
      <name val="Arial"/>
      <family val="2"/>
    </font>
    <font>
      <b/>
      <sz val="8"/>
      <color indexed="12"/>
      <name val="Arial"/>
      <family val="2"/>
    </font>
    <font>
      <u/>
      <sz val="8"/>
      <color indexed="12"/>
      <name val="Arial"/>
      <family val="2"/>
    </font>
    <font>
      <b/>
      <sz val="12"/>
      <color indexed="17"/>
      <name val="Arial"/>
      <family val="2"/>
    </font>
    <font>
      <b/>
      <sz val="8"/>
      <color indexed="10"/>
      <name val="Arial"/>
      <family val="2"/>
    </font>
    <font>
      <sz val="8"/>
      <color indexed="10"/>
      <name val="Arial"/>
      <family val="2"/>
    </font>
    <font>
      <i/>
      <sz val="8"/>
      <color theme="1"/>
      <name val="Arial"/>
      <family val="2"/>
    </font>
    <font>
      <i/>
      <sz val="8"/>
      <name val="Arial"/>
      <family val="2"/>
    </font>
    <font>
      <sz val="8"/>
      <name val="Arial"/>
      <family val="2"/>
    </font>
    <font>
      <sz val="8"/>
      <color rgb="FFFF0000"/>
      <name val="Arial"/>
      <family val="2"/>
    </font>
    <font>
      <sz val="7"/>
      <name val="Arial"/>
      <family val="2"/>
    </font>
    <font>
      <b/>
      <sz val="12"/>
      <color rgb="FF008000"/>
      <name val="Arial"/>
      <family val="2"/>
    </font>
    <font>
      <sz val="10"/>
      <name val="Arial"/>
      <family val="2"/>
    </font>
    <font>
      <sz val="10"/>
      <color rgb="FF333333"/>
      <name val="Arial"/>
      <family val="2"/>
    </font>
    <font>
      <i/>
      <sz val="8"/>
      <color rgb="FFFF0000"/>
      <name val="Arial"/>
      <family val="2"/>
    </font>
    <font>
      <b/>
      <sz val="10"/>
      <color rgb="FFFF0000"/>
      <name val="Arial"/>
      <family val="2"/>
    </font>
    <font>
      <sz val="10"/>
      <color rgb="FFFF0000"/>
      <name val="Arial"/>
      <family val="2"/>
    </font>
    <font>
      <sz val="8"/>
      <color rgb="FF000000"/>
      <name val="Arial"/>
      <family val="2"/>
    </font>
  </fonts>
  <fills count="10">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theme="0" tint="-0.249977111117893"/>
        <bgColor indexed="64"/>
      </patternFill>
    </fill>
    <fill>
      <patternFill patternType="solid">
        <fgColor rgb="FF99CC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5">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43" fontId="15" fillId="0" borderId="0" applyFont="0" applyFill="0" applyBorder="0" applyAlignment="0" applyProtection="0"/>
  </cellStyleXfs>
  <cellXfs count="296">
    <xf numFmtId="0" fontId="0" fillId="0" borderId="0" xfId="0"/>
    <xf numFmtId="44" fontId="0" fillId="0" borderId="0" xfId="0" applyNumberFormat="1" applyBorder="1"/>
    <xf numFmtId="0" fontId="0" fillId="0" borderId="0" xfId="0" applyBorder="1"/>
    <xf numFmtId="0" fontId="0" fillId="0" borderId="0" xfId="0" applyAlignment="1">
      <alignment horizontal="center"/>
    </xf>
    <xf numFmtId="0" fontId="2" fillId="0" borderId="0" xfId="0" applyFont="1" applyFill="1" applyBorder="1"/>
    <xf numFmtId="0" fontId="0" fillId="0" borderId="0" xfId="0" applyFill="1" applyBorder="1"/>
    <xf numFmtId="0" fontId="0" fillId="0" borderId="2" xfId="0" applyBorder="1"/>
    <xf numFmtId="0" fontId="0" fillId="0" borderId="2" xfId="0" applyBorder="1" applyAlignment="1">
      <alignment horizontal="left"/>
    </xf>
    <xf numFmtId="0" fontId="3" fillId="0" borderId="2" xfId="0" applyFont="1" applyFill="1" applyBorder="1"/>
    <xf numFmtId="0" fontId="0" fillId="0" borderId="0" xfId="0" applyBorder="1" applyAlignment="1">
      <alignment horizontal="center"/>
    </xf>
    <xf numFmtId="0" fontId="0" fillId="0" borderId="0" xfId="0" quotePrefix="1" applyBorder="1" applyAlignment="1">
      <alignment horizontal="center"/>
    </xf>
    <xf numFmtId="0" fontId="0" fillId="0" borderId="0" xfId="0" applyFill="1" applyBorder="1" applyAlignment="1">
      <alignment horizontal="center"/>
    </xf>
    <xf numFmtId="0" fontId="0" fillId="0" borderId="0" xfId="0" applyBorder="1" applyAlignment="1">
      <alignment horizontal="left"/>
    </xf>
    <xf numFmtId="0" fontId="3" fillId="0" borderId="0" xfId="0" applyFont="1" applyFill="1" applyBorder="1"/>
    <xf numFmtId="49" fontId="0" fillId="0" borderId="0" xfId="0" applyNumberFormat="1" applyAlignment="1">
      <alignment horizontal="center"/>
    </xf>
    <xf numFmtId="49" fontId="0" fillId="0" borderId="3" xfId="0" applyNumberFormat="1" applyBorder="1" applyAlignment="1">
      <alignment horizontal="center"/>
    </xf>
    <xf numFmtId="49" fontId="0" fillId="0" borderId="4" xfId="0" applyNumberFormat="1" applyBorder="1" applyAlignment="1">
      <alignment horizontal="center"/>
    </xf>
    <xf numFmtId="0" fontId="3" fillId="0" borderId="5" xfId="0" applyFont="1" applyFill="1" applyBorder="1" applyAlignment="1">
      <alignment horizontal="left"/>
    </xf>
    <xf numFmtId="44" fontId="8" fillId="0" borderId="0" xfId="0" applyNumberFormat="1" applyFont="1" applyBorder="1" applyAlignment="1">
      <alignment horizontal="right"/>
    </xf>
    <xf numFmtId="49" fontId="0" fillId="0" borderId="0" xfId="0" applyNumberFormat="1" applyBorder="1" applyAlignment="1">
      <alignment horizontal="center"/>
    </xf>
    <xf numFmtId="49" fontId="2" fillId="0" borderId="4" xfId="0" applyNumberFormat="1" applyFont="1" applyBorder="1" applyAlignment="1">
      <alignment horizontal="center"/>
    </xf>
    <xf numFmtId="0" fontId="2" fillId="0" borderId="5" xfId="0" applyFont="1" applyBorder="1"/>
    <xf numFmtId="49" fontId="0" fillId="0" borderId="1" xfId="0" applyNumberFormat="1" applyBorder="1" applyAlignment="1">
      <alignment horizontal="center"/>
    </xf>
    <xf numFmtId="0" fontId="0" fillId="0" borderId="8" xfId="0" applyBorder="1"/>
    <xf numFmtId="0" fontId="3" fillId="0" borderId="10" xfId="0" quotePrefix="1" applyFont="1" applyBorder="1" applyAlignment="1">
      <alignment horizontal="center"/>
    </xf>
    <xf numFmtId="49" fontId="0" fillId="0" borderId="2" xfId="0" applyNumberFormat="1" applyFill="1" applyBorder="1" applyAlignment="1">
      <alignment horizontal="center"/>
    </xf>
    <xf numFmtId="49" fontId="0" fillId="0" borderId="12" xfId="0" applyNumberFormat="1" applyFill="1" applyBorder="1" applyAlignment="1">
      <alignment horizontal="center"/>
    </xf>
    <xf numFmtId="0" fontId="0" fillId="0" borderId="5" xfId="0" applyFill="1" applyBorder="1"/>
    <xf numFmtId="0" fontId="0" fillId="0" borderId="5" xfId="0" applyFill="1" applyBorder="1" applyAlignment="1">
      <alignment horizontal="center"/>
    </xf>
    <xf numFmtId="44" fontId="0" fillId="0" borderId="0" xfId="0" applyNumberFormat="1"/>
    <xf numFmtId="0" fontId="3" fillId="0" borderId="0" xfId="0" applyFont="1" applyFill="1" applyBorder="1" applyAlignment="1">
      <alignment horizontal="left" indent="1"/>
    </xf>
    <xf numFmtId="0" fontId="5" fillId="0" borderId="0" xfId="0" applyFont="1" applyBorder="1" applyAlignment="1" applyProtection="1">
      <alignment horizontal="right"/>
    </xf>
    <xf numFmtId="0" fontId="1" fillId="0" borderId="0" xfId="0" applyFont="1" applyBorder="1" applyAlignment="1">
      <alignment horizontal="left"/>
    </xf>
    <xf numFmtId="0" fontId="1" fillId="0" borderId="0" xfId="0" applyFont="1" applyBorder="1" applyAlignment="1">
      <alignment horizontal="right"/>
    </xf>
    <xf numFmtId="0" fontId="1" fillId="0" borderId="0" xfId="0" applyFont="1"/>
    <xf numFmtId="44" fontId="1" fillId="0" borderId="11" xfId="0" quotePrefix="1" applyNumberFormat="1"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165" fontId="12" fillId="0" borderId="0" xfId="0" applyNumberFormat="1" applyFont="1" applyAlignment="1">
      <alignment horizontal="center"/>
    </xf>
    <xf numFmtId="7" fontId="11" fillId="0" borderId="5" xfId="0" applyNumberFormat="1" applyFont="1" applyBorder="1" applyAlignment="1">
      <alignment horizontal="center" vertical="center"/>
    </xf>
    <xf numFmtId="7" fontId="11" fillId="0" borderId="8" xfId="0" applyNumberFormat="1" applyFont="1" applyBorder="1" applyAlignment="1">
      <alignment horizontal="right"/>
    </xf>
    <xf numFmtId="0" fontId="2" fillId="0" borderId="0" xfId="0" applyFont="1" applyAlignment="1">
      <alignment horizontal="center"/>
    </xf>
    <xf numFmtId="0" fontId="6" fillId="7" borderId="14" xfId="0" applyFont="1" applyFill="1" applyBorder="1" applyAlignment="1">
      <alignment horizontal="left"/>
    </xf>
    <xf numFmtId="0" fontId="3" fillId="0" borderId="5" xfId="0" applyFont="1" applyFill="1" applyBorder="1" applyAlignment="1">
      <alignment horizontal="left"/>
    </xf>
    <xf numFmtId="0" fontId="0" fillId="0" borderId="0" xfId="0" applyProtection="1">
      <protection locked="0"/>
    </xf>
    <xf numFmtId="0" fontId="0" fillId="0" borderId="0" xfId="0" applyBorder="1" applyProtection="1"/>
    <xf numFmtId="0" fontId="1" fillId="0" borderId="0" xfId="0" quotePrefix="1" applyFont="1" applyFill="1" applyBorder="1" applyAlignment="1"/>
    <xf numFmtId="0" fontId="3" fillId="0" borderId="5" xfId="0" applyFont="1" applyFill="1" applyBorder="1" applyAlignment="1" applyProtection="1">
      <alignment horizontal="left"/>
    </xf>
    <xf numFmtId="44" fontId="0" fillId="0" borderId="1" xfId="0" applyNumberFormat="1" applyBorder="1" applyProtection="1">
      <protection hidden="1"/>
    </xf>
    <xf numFmtId="44" fontId="1" fillId="4" borderId="1" xfId="1" applyFill="1" applyBorder="1" applyProtection="1">
      <protection locked="0" hidden="1"/>
    </xf>
    <xf numFmtId="44" fontId="3" fillId="6" borderId="1" xfId="0" applyNumberFormat="1" applyFont="1" applyFill="1" applyBorder="1" applyProtection="1">
      <protection hidden="1"/>
    </xf>
    <xf numFmtId="44" fontId="1" fillId="0" borderId="1" xfId="1" applyBorder="1" applyProtection="1">
      <protection hidden="1"/>
    </xf>
    <xf numFmtId="44" fontId="3" fillId="0" borderId="1" xfId="0" applyNumberFormat="1" applyFont="1" applyFill="1" applyBorder="1" applyProtection="1">
      <protection hidden="1"/>
    </xf>
    <xf numFmtId="44" fontId="0" fillId="0" borderId="1" xfId="0" applyNumberFormat="1" applyFill="1" applyBorder="1" applyProtection="1">
      <protection hidden="1"/>
    </xf>
    <xf numFmtId="44" fontId="2" fillId="0" borderId="1" xfId="0" applyNumberFormat="1" applyFont="1" applyFill="1" applyBorder="1" applyProtection="1">
      <protection hidden="1"/>
    </xf>
    <xf numFmtId="44" fontId="1" fillId="0" borderId="1" xfId="1" applyFill="1" applyBorder="1" applyProtection="1">
      <protection hidden="1"/>
    </xf>
    <xf numFmtId="0" fontId="0" fillId="0" borderId="0" xfId="0" applyProtection="1">
      <protection hidden="1"/>
    </xf>
    <xf numFmtId="44" fontId="0" fillId="0" borderId="0" xfId="0" applyNumberFormat="1" applyBorder="1" applyProtection="1">
      <protection hidden="1"/>
    </xf>
    <xf numFmtId="44" fontId="0" fillId="0" borderId="6" xfId="0" applyNumberFormat="1" applyBorder="1" applyProtection="1">
      <protection hidden="1"/>
    </xf>
    <xf numFmtId="44" fontId="2" fillId="0" borderId="7" xfId="0" applyNumberFormat="1" applyFont="1" applyFill="1" applyBorder="1" applyProtection="1">
      <protection hidden="1"/>
    </xf>
    <xf numFmtId="44" fontId="2" fillId="0" borderId="7" xfId="0" applyNumberFormat="1" applyFont="1" applyBorder="1" applyProtection="1">
      <protection hidden="1"/>
    </xf>
    <xf numFmtId="44" fontId="2" fillId="3" borderId="7" xfId="0" applyNumberFormat="1" applyFont="1" applyFill="1" applyBorder="1" applyProtection="1">
      <protection hidden="1"/>
    </xf>
    <xf numFmtId="0" fontId="0" fillId="0" borderId="11" xfId="0" applyFill="1" applyBorder="1" applyProtection="1">
      <protection hidden="1"/>
    </xf>
    <xf numFmtId="0" fontId="0" fillId="0" borderId="13" xfId="0" applyFill="1" applyBorder="1" applyProtection="1">
      <protection hidden="1"/>
    </xf>
    <xf numFmtId="0" fontId="0" fillId="0" borderId="0" xfId="0" applyFill="1" applyBorder="1" applyAlignment="1" applyProtection="1">
      <alignment vertical="center"/>
      <protection hidden="1"/>
    </xf>
    <xf numFmtId="0" fontId="2" fillId="0" borderId="0" xfId="0" applyFont="1" applyFill="1" applyBorder="1" applyProtection="1">
      <protection hidden="1"/>
    </xf>
    <xf numFmtId="0" fontId="0" fillId="0" borderId="0" xfId="0" applyBorder="1" applyProtection="1">
      <protection hidden="1"/>
    </xf>
    <xf numFmtId="0" fontId="0" fillId="0" borderId="0" xfId="0" applyFill="1" applyBorder="1" applyProtection="1">
      <protection hidden="1"/>
    </xf>
    <xf numFmtId="0" fontId="0" fillId="0" borderId="0" xfId="0" applyFill="1" applyProtection="1">
      <protection hidden="1"/>
    </xf>
    <xf numFmtId="10" fontId="0" fillId="2" borderId="0" xfId="0" applyNumberFormat="1" applyFill="1" applyBorder="1" applyProtection="1">
      <protection hidden="1"/>
    </xf>
    <xf numFmtId="164" fontId="0" fillId="2" borderId="0" xfId="0" applyNumberFormat="1" applyFill="1" applyBorder="1" applyProtection="1">
      <protection hidden="1"/>
    </xf>
    <xf numFmtId="44" fontId="0" fillId="0" borderId="0" xfId="0" applyNumberFormat="1" applyFill="1" applyBorder="1" applyProtection="1">
      <protection hidden="1"/>
    </xf>
    <xf numFmtId="10" fontId="0" fillId="5" borderId="0" xfId="0" applyNumberFormat="1" applyFill="1" applyBorder="1" applyProtection="1">
      <protection hidden="1"/>
    </xf>
    <xf numFmtId="10" fontId="1" fillId="0" borderId="0" xfId="3" applyNumberFormat="1" applyFont="1" applyFill="1" applyBorder="1" applyProtection="1">
      <protection hidden="1"/>
    </xf>
    <xf numFmtId="10" fontId="0" fillId="0" borderId="0" xfId="0" applyNumberFormat="1" applyBorder="1" applyProtection="1">
      <protection hidden="1"/>
    </xf>
    <xf numFmtId="165" fontId="0" fillId="0" borderId="0" xfId="0" applyNumberFormat="1" applyProtection="1">
      <protection hidden="1"/>
    </xf>
    <xf numFmtId="49" fontId="0" fillId="0" borderId="3" xfId="0" applyNumberFormat="1" applyBorder="1" applyAlignment="1" applyProtection="1">
      <alignment horizontal="center"/>
      <protection hidden="1"/>
    </xf>
    <xf numFmtId="0" fontId="0" fillId="0" borderId="2" xfId="0" applyBorder="1" applyProtection="1">
      <protection hidden="1"/>
    </xf>
    <xf numFmtId="0" fontId="0" fillId="0" borderId="0" xfId="0" applyBorder="1" applyAlignment="1" applyProtection="1">
      <alignment horizontal="center"/>
      <protection hidden="1"/>
    </xf>
    <xf numFmtId="44" fontId="0" fillId="4" borderId="1" xfId="1" applyFont="1" applyFill="1" applyBorder="1" applyAlignment="1" applyProtection="1">
      <protection locked="0" hidden="1"/>
    </xf>
    <xf numFmtId="44" fontId="0" fillId="4" borderId="1" xfId="1" applyFont="1" applyFill="1" applyBorder="1" applyProtection="1">
      <protection locked="0" hidden="1"/>
    </xf>
    <xf numFmtId="0" fontId="0" fillId="0" borderId="2" xfId="0" applyBorder="1" applyAlignment="1" applyProtection="1">
      <alignment horizontal="left"/>
      <protection hidden="1"/>
    </xf>
    <xf numFmtId="0" fontId="0" fillId="0" borderId="0" xfId="0" applyBorder="1" applyAlignment="1" applyProtection="1">
      <alignment horizontal="left"/>
      <protection hidden="1"/>
    </xf>
    <xf numFmtId="0" fontId="0" fillId="0" borderId="0" xfId="0" quotePrefix="1" applyBorder="1" applyAlignment="1" applyProtection="1">
      <alignment horizontal="center"/>
      <protection hidden="1"/>
    </xf>
    <xf numFmtId="44" fontId="2" fillId="0" borderId="1" xfId="1" applyFont="1" applyFill="1" applyBorder="1" applyProtection="1">
      <protection hidden="1"/>
    </xf>
    <xf numFmtId="0" fontId="0" fillId="0" borderId="0" xfId="0" applyFill="1" applyBorder="1" applyAlignment="1" applyProtection="1">
      <alignment horizontal="center"/>
      <protection hidden="1"/>
    </xf>
    <xf numFmtId="0" fontId="2" fillId="0" borderId="0" xfId="0" applyFont="1" applyAlignment="1" applyProtection="1">
      <alignment horizontal="center"/>
      <protection hidden="1"/>
    </xf>
    <xf numFmtId="0" fontId="0" fillId="0" borderId="8" xfId="0" applyBorder="1" applyProtection="1">
      <protection hidden="1"/>
    </xf>
    <xf numFmtId="0" fontId="11" fillId="0" borderId="0" xfId="0" applyFont="1" applyBorder="1" applyAlignment="1" applyProtection="1">
      <alignment horizontal="right"/>
      <protection hidden="1"/>
    </xf>
    <xf numFmtId="44" fontId="0" fillId="0" borderId="1" xfId="1" applyFont="1" applyBorder="1" applyProtection="1">
      <protection hidden="1"/>
    </xf>
    <xf numFmtId="0" fontId="1" fillId="0" borderId="0" xfId="0" applyFont="1" applyProtection="1">
      <protection hidden="1"/>
    </xf>
    <xf numFmtId="49" fontId="1" fillId="0" borderId="3" xfId="0" applyNumberFormat="1" applyFont="1" applyFill="1" applyBorder="1" applyAlignment="1" applyProtection="1">
      <alignment horizontal="center"/>
      <protection hidden="1"/>
    </xf>
    <xf numFmtId="0" fontId="1" fillId="0" borderId="0" xfId="0" applyFont="1" applyBorder="1" applyAlignment="1" applyProtection="1">
      <alignment horizontal="left"/>
      <protection hidden="1"/>
    </xf>
    <xf numFmtId="0" fontId="1" fillId="0" borderId="0" xfId="0" applyFont="1" applyBorder="1" applyAlignment="1" applyProtection="1">
      <alignment horizontal="right"/>
      <protection hidden="1"/>
    </xf>
    <xf numFmtId="49" fontId="1" fillId="0" borderId="3" xfId="0" applyNumberFormat="1" applyFont="1" applyBorder="1" applyAlignment="1" applyProtection="1">
      <alignment horizontal="center"/>
      <protection hidden="1"/>
    </xf>
    <xf numFmtId="44" fontId="0" fillId="0" borderId="1" xfId="1" applyFont="1" applyFill="1" applyBorder="1" applyProtection="1">
      <protection hidden="1"/>
    </xf>
    <xf numFmtId="0" fontId="3" fillId="0" borderId="2" xfId="0" applyFont="1" applyFill="1" applyBorder="1" applyProtection="1">
      <protection hidden="1"/>
    </xf>
    <xf numFmtId="0" fontId="3" fillId="0" borderId="0" xfId="0" applyFont="1" applyFill="1" applyBorder="1" applyProtection="1">
      <protection hidden="1"/>
    </xf>
    <xf numFmtId="0" fontId="1" fillId="0" borderId="2" xfId="0" applyFont="1" applyFill="1" applyBorder="1" applyProtection="1">
      <protection hidden="1"/>
    </xf>
    <xf numFmtId="0" fontId="1" fillId="0" borderId="0" xfId="0" applyFont="1" applyBorder="1" applyAlignment="1" applyProtection="1">
      <alignment horizontal="center"/>
      <protection hidden="1"/>
    </xf>
    <xf numFmtId="0" fontId="1" fillId="0" borderId="0" xfId="0" quotePrefix="1" applyFont="1" applyBorder="1" applyAlignment="1" applyProtection="1">
      <alignment horizontal="center"/>
      <protection hidden="1"/>
    </xf>
    <xf numFmtId="0" fontId="5" fillId="0" borderId="0" xfId="0" applyFont="1" applyBorder="1" applyProtection="1">
      <protection hidden="1"/>
    </xf>
    <xf numFmtId="44" fontId="0" fillId="0" borderId="0" xfId="0" applyNumberFormat="1" applyBorder="1" applyAlignment="1" applyProtection="1">
      <alignment horizontal="center"/>
      <protection hidden="1"/>
    </xf>
    <xf numFmtId="10" fontId="0" fillId="0" borderId="0" xfId="3" applyNumberFormat="1" applyFont="1" applyFill="1" applyBorder="1" applyProtection="1">
      <protection hidden="1"/>
    </xf>
    <xf numFmtId="0" fontId="1" fillId="0" borderId="0" xfId="0" quotePrefix="1" applyFont="1" applyFill="1" applyBorder="1" applyAlignment="1" applyProtection="1">
      <alignment horizontal="left"/>
      <protection hidden="1"/>
    </xf>
    <xf numFmtId="44" fontId="0" fillId="0" borderId="0" xfId="0" applyNumberFormat="1" applyBorder="1" applyAlignment="1" applyProtection="1">
      <alignment horizontal="right"/>
      <protection hidden="1"/>
    </xf>
    <xf numFmtId="44" fontId="1" fillId="0" borderId="0" xfId="0" applyNumberFormat="1" applyFont="1" applyBorder="1" applyAlignment="1" applyProtection="1">
      <alignment horizontal="left"/>
      <protection hidden="1"/>
    </xf>
    <xf numFmtId="44" fontId="1" fillId="0" borderId="11" xfId="0" quotePrefix="1" applyNumberFormat="1" applyFont="1" applyBorder="1" applyAlignment="1" applyProtection="1">
      <alignment horizontal="center"/>
      <protection hidden="1"/>
    </xf>
    <xf numFmtId="0" fontId="5" fillId="0" borderId="0" xfId="0" applyFont="1" applyFill="1" applyAlignment="1" applyProtection="1">
      <alignment horizontal="left"/>
      <protection hidden="1"/>
    </xf>
    <xf numFmtId="49" fontId="1" fillId="0" borderId="4" xfId="0" applyNumberFormat="1" applyFont="1" applyBorder="1" applyAlignment="1" applyProtection="1">
      <alignment horizontal="center"/>
      <protection hidden="1"/>
    </xf>
    <xf numFmtId="0" fontId="3" fillId="0" borderId="5" xfId="0" applyFont="1" applyFill="1" applyBorder="1" applyAlignment="1" applyProtection="1">
      <alignment horizontal="left"/>
      <protection hidden="1"/>
    </xf>
    <xf numFmtId="0" fontId="5" fillId="0" borderId="5" xfId="0" applyFont="1" applyBorder="1" applyProtection="1">
      <protection hidden="1"/>
    </xf>
    <xf numFmtId="0" fontId="3" fillId="0" borderId="10" xfId="0" quotePrefix="1" applyFont="1" applyBorder="1" applyAlignment="1" applyProtection="1">
      <alignment horizontal="center"/>
      <protection hidden="1"/>
    </xf>
    <xf numFmtId="49" fontId="0" fillId="0" borderId="0" xfId="0" applyNumberFormat="1" applyAlignment="1" applyProtection="1">
      <alignment horizontal="center"/>
      <protection hidden="1"/>
    </xf>
    <xf numFmtId="0" fontId="0" fillId="0" borderId="0" xfId="0" applyAlignment="1" applyProtection="1">
      <alignment horizontal="center"/>
      <protection hidden="1"/>
    </xf>
    <xf numFmtId="49" fontId="0" fillId="0" borderId="0" xfId="0" applyNumberFormat="1" applyBorder="1" applyAlignment="1" applyProtection="1">
      <alignment horizontal="center"/>
      <protection hidden="1"/>
    </xf>
    <xf numFmtId="0" fontId="1" fillId="0" borderId="0" xfId="0" applyFont="1" applyAlignment="1" applyProtection="1">
      <alignment horizontal="center"/>
      <protection hidden="1"/>
    </xf>
    <xf numFmtId="49" fontId="2" fillId="0" borderId="4" xfId="0" applyNumberFormat="1" applyFont="1" applyBorder="1" applyAlignment="1" applyProtection="1">
      <alignment horizontal="center"/>
      <protection hidden="1"/>
    </xf>
    <xf numFmtId="0" fontId="2" fillId="0" borderId="5" xfId="0" applyFont="1" applyBorder="1" applyProtection="1">
      <protection hidden="1"/>
    </xf>
    <xf numFmtId="49" fontId="0" fillId="0" borderId="1" xfId="0" applyNumberFormat="1" applyBorder="1" applyAlignment="1" applyProtection="1">
      <alignment horizontal="center"/>
      <protection hidden="1"/>
    </xf>
    <xf numFmtId="0" fontId="0" fillId="0" borderId="9" xfId="0" applyBorder="1" applyAlignment="1" applyProtection="1">
      <alignment horizontal="center"/>
      <protection hidden="1"/>
    </xf>
    <xf numFmtId="0" fontId="6" fillId="7" borderId="14" xfId="0" applyFont="1" applyFill="1" applyBorder="1" applyAlignment="1" applyProtection="1">
      <alignment horizontal="left"/>
      <protection hidden="1"/>
    </xf>
    <xf numFmtId="49" fontId="0" fillId="0" borderId="2" xfId="0" applyNumberFormat="1" applyFill="1" applyBorder="1" applyAlignment="1" applyProtection="1">
      <alignment horizontal="center"/>
      <protection hidden="1"/>
    </xf>
    <xf numFmtId="0" fontId="3" fillId="0" borderId="0" xfId="0" applyFont="1" applyFill="1" applyBorder="1" applyAlignment="1" applyProtection="1">
      <alignment horizontal="left" indent="1"/>
      <protection hidden="1"/>
    </xf>
    <xf numFmtId="49" fontId="0" fillId="0" borderId="12" xfId="0" applyNumberFormat="1" applyFill="1" applyBorder="1" applyAlignment="1" applyProtection="1">
      <alignment horizontal="center"/>
      <protection hidden="1"/>
    </xf>
    <xf numFmtId="0" fontId="0" fillId="0" borderId="5" xfId="0" applyFill="1" applyBorder="1" applyProtection="1">
      <protection hidden="1"/>
    </xf>
    <xf numFmtId="0" fontId="0" fillId="0" borderId="5" xfId="0" applyFill="1" applyBorder="1" applyAlignment="1" applyProtection="1">
      <alignment horizontal="center"/>
      <protection hidden="1"/>
    </xf>
    <xf numFmtId="7" fontId="11" fillId="0" borderId="0" xfId="0" applyNumberFormat="1" applyFont="1" applyBorder="1" applyAlignment="1">
      <alignment horizontal="right"/>
    </xf>
    <xf numFmtId="0" fontId="16" fillId="0" borderId="0" xfId="0" applyFont="1"/>
    <xf numFmtId="0" fontId="2" fillId="0" borderId="0" xfId="0" applyFont="1" applyFill="1" applyBorder="1" applyAlignment="1">
      <alignment horizontal="left" indent="1"/>
    </xf>
    <xf numFmtId="0" fontId="5" fillId="0" borderId="0" xfId="0" applyFont="1" applyBorder="1" applyAlignment="1" applyProtection="1">
      <alignment horizontal="right"/>
      <protection hidden="1"/>
    </xf>
    <xf numFmtId="0" fontId="0" fillId="0" borderId="5" xfId="0" applyBorder="1"/>
    <xf numFmtId="44" fontId="11" fillId="0" borderId="14" xfId="0" applyNumberFormat="1" applyFont="1" applyFill="1" applyBorder="1" applyAlignment="1">
      <alignment horizontal="right"/>
    </xf>
    <xf numFmtId="165" fontId="5" fillId="0" borderId="0" xfId="0" applyNumberFormat="1" applyFont="1" applyBorder="1" applyAlignment="1">
      <alignment horizontal="right"/>
    </xf>
    <xf numFmtId="44" fontId="0" fillId="9" borderId="1" xfId="1" applyFont="1" applyFill="1" applyBorder="1" applyProtection="1">
      <protection locked="0" hidden="1"/>
    </xf>
    <xf numFmtId="0" fontId="17" fillId="0" borderId="22" xfId="0" applyFont="1" applyBorder="1" applyAlignment="1" applyProtection="1">
      <alignment horizontal="left" wrapText="1"/>
      <protection hidden="1"/>
    </xf>
    <xf numFmtId="0" fontId="17" fillId="0" borderId="0" xfId="0" applyFont="1" applyBorder="1" applyAlignment="1" applyProtection="1">
      <alignment horizontal="left" wrapText="1"/>
      <protection hidden="1"/>
    </xf>
    <xf numFmtId="0" fontId="17" fillId="0" borderId="23" xfId="0" applyFont="1" applyBorder="1" applyAlignment="1" applyProtection="1">
      <alignment horizontal="left" wrapText="1"/>
      <protection hidden="1"/>
    </xf>
    <xf numFmtId="0" fontId="0" fillId="0" borderId="14" xfId="0" applyBorder="1" applyProtection="1">
      <protection hidden="1"/>
    </xf>
    <xf numFmtId="0" fontId="1" fillId="0" borderId="28" xfId="0" applyFont="1" applyBorder="1" applyAlignment="1" applyProtection="1">
      <alignment horizontal="center"/>
      <protection hidden="1"/>
    </xf>
    <xf numFmtId="0" fontId="0" fillId="0" borderId="29" xfId="0" applyBorder="1" applyAlignment="1" applyProtection="1">
      <alignment horizontal="center"/>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horizontal="center"/>
      <protection hidden="1"/>
    </xf>
    <xf numFmtId="0" fontId="1" fillId="0" borderId="0" xfId="0" applyFont="1" applyFill="1" applyBorder="1" applyAlignment="1" applyProtection="1">
      <alignment vertical="center"/>
      <protection hidden="1"/>
    </xf>
    <xf numFmtId="0" fontId="0" fillId="0" borderId="30" xfId="0" applyFill="1" applyBorder="1" applyAlignment="1" applyProtection="1">
      <alignment horizontal="center"/>
      <protection hidden="1"/>
    </xf>
    <xf numFmtId="0" fontId="1" fillId="0" borderId="14" xfId="0" applyFont="1" applyFill="1" applyBorder="1" applyAlignment="1" applyProtection="1">
      <alignment vertical="center"/>
      <protection hidden="1"/>
    </xf>
    <xf numFmtId="0" fontId="0" fillId="0" borderId="14" xfId="0" applyBorder="1" applyAlignment="1" applyProtection="1">
      <alignment vertical="center"/>
      <protection hidden="1"/>
    </xf>
    <xf numFmtId="0" fontId="0" fillId="0" borderId="29" xfId="0" applyFill="1" applyBorder="1" applyAlignment="1" applyProtection="1">
      <alignment horizontal="center"/>
      <protection hidden="1"/>
    </xf>
    <xf numFmtId="0" fontId="2"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Fill="1" applyBorder="1" applyAlignment="1" applyProtection="1">
      <alignment horizontal="center"/>
      <protection hidden="1"/>
    </xf>
    <xf numFmtId="0" fontId="0" fillId="0" borderId="31" xfId="0" applyFill="1" applyBorder="1" applyAlignment="1" applyProtection="1">
      <alignment horizontal="center"/>
      <protection hidden="1"/>
    </xf>
    <xf numFmtId="0" fontId="2" fillId="0" borderId="5" xfId="0" applyFont="1" applyFill="1" applyBorder="1" applyAlignment="1" applyProtection="1">
      <alignment vertical="center"/>
      <protection hidden="1"/>
    </xf>
    <xf numFmtId="0" fontId="0" fillId="0" borderId="5" xfId="0" applyBorder="1" applyProtection="1">
      <protection hidden="1"/>
    </xf>
    <xf numFmtId="0" fontId="0" fillId="0" borderId="5" xfId="0" applyBorder="1" applyAlignment="1" applyProtection="1">
      <alignment vertical="center"/>
      <protection hidden="1"/>
    </xf>
    <xf numFmtId="0" fontId="2" fillId="0" borderId="5" xfId="0" applyFont="1" applyBorder="1" applyAlignment="1" applyProtection="1">
      <alignment horizontal="center"/>
      <protection hidden="1"/>
    </xf>
    <xf numFmtId="44" fontId="0" fillId="0" borderId="0" xfId="0" applyNumberFormat="1" applyProtection="1">
      <protection hidden="1"/>
    </xf>
    <xf numFmtId="0" fontId="1" fillId="0" borderId="0" xfId="0" quotePrefix="1" applyFont="1" applyProtection="1">
      <protection hidden="1"/>
    </xf>
    <xf numFmtId="0" fontId="0" fillId="0" borderId="0" xfId="0" applyAlignment="1" applyProtection="1">
      <protection hidden="1"/>
    </xf>
    <xf numFmtId="0" fontId="1" fillId="0" borderId="22"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 xfId="0" applyFont="1" applyBorder="1" applyProtection="1">
      <protection hidden="1"/>
    </xf>
    <xf numFmtId="0" fontId="1" fillId="0" borderId="10" xfId="0" quotePrefix="1" applyFont="1" applyBorder="1" applyAlignment="1" applyProtection="1">
      <alignment horizontal="center"/>
      <protection hidden="1"/>
    </xf>
    <xf numFmtId="0" fontId="1" fillId="0" borderId="10" xfId="0" quotePrefix="1"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44" fontId="1" fillId="0" borderId="17" xfId="1" applyFill="1" applyBorder="1" applyProtection="1">
      <protection hidden="1"/>
    </xf>
    <xf numFmtId="0" fontId="19" fillId="0" borderId="0" xfId="0" applyFont="1"/>
    <xf numFmtId="0" fontId="6" fillId="0" borderId="0" xfId="0" applyFont="1"/>
    <xf numFmtId="3" fontId="20" fillId="0" borderId="0" xfId="0" applyNumberFormat="1" applyFont="1"/>
    <xf numFmtId="0" fontId="20" fillId="0" borderId="0" xfId="0" applyFont="1"/>
    <xf numFmtId="0" fontId="1" fillId="0" borderId="2" xfId="0" applyFont="1" applyBorder="1" applyAlignment="1" applyProtection="1">
      <alignment horizontal="left" vertical="center"/>
    </xf>
    <xf numFmtId="0" fontId="0" fillId="0" borderId="17" xfId="0" applyBorder="1" applyProtection="1">
      <protection hidden="1"/>
    </xf>
    <xf numFmtId="0" fontId="0" fillId="0" borderId="11" xfId="0" applyBorder="1" applyProtection="1">
      <protection hidden="1"/>
    </xf>
    <xf numFmtId="0" fontId="21" fillId="0" borderId="0" xfId="0" applyFont="1" applyBorder="1" applyAlignment="1">
      <alignment horizontal="left" vertical="center" indent="25"/>
    </xf>
    <xf numFmtId="0" fontId="14" fillId="0" borderId="0" xfId="0" applyFont="1" applyBorder="1" applyAlignment="1" applyProtection="1">
      <alignment horizontal="left" vertical="center" indent="1"/>
      <protection hidden="1"/>
    </xf>
    <xf numFmtId="0" fontId="21" fillId="0" borderId="2" xfId="0" applyFont="1" applyBorder="1" applyAlignment="1" applyProtection="1">
      <alignment horizontal="left" vertical="center"/>
      <protection hidden="1"/>
    </xf>
    <xf numFmtId="0" fontId="9" fillId="0" borderId="0" xfId="2" applyFont="1" applyBorder="1" applyAlignment="1" applyProtection="1">
      <alignment horizontal="center"/>
      <protection hidden="1"/>
    </xf>
    <xf numFmtId="0" fontId="23" fillId="0" borderId="0" xfId="0" applyFont="1"/>
    <xf numFmtId="0" fontId="21" fillId="0" borderId="0" xfId="0" applyFont="1" applyBorder="1" applyAlignment="1">
      <alignment horizontal="left" vertical="center" indent="5"/>
    </xf>
    <xf numFmtId="2" fontId="0" fillId="0" borderId="5" xfId="0" applyNumberFormat="1" applyFill="1" applyBorder="1" applyAlignment="1" applyProtection="1">
      <alignment horizontal="center"/>
      <protection hidden="1"/>
    </xf>
    <xf numFmtId="2" fontId="0" fillId="9" borderId="1" xfId="0" applyNumberFormat="1" applyFill="1" applyBorder="1" applyAlignment="1" applyProtection="1">
      <alignment horizontal="center"/>
      <protection locked="0"/>
    </xf>
    <xf numFmtId="44" fontId="1" fillId="0" borderId="0" xfId="0" quotePrefix="1" applyNumberFormat="1" applyFont="1" applyBorder="1" applyAlignment="1" applyProtection="1">
      <alignment horizontal="center"/>
      <protection hidden="1"/>
    </xf>
    <xf numFmtId="2" fontId="0" fillId="0" borderId="0" xfId="3" applyNumberFormat="1" applyFont="1" applyFill="1" applyBorder="1" applyAlignment="1" applyProtection="1">
      <alignment horizontal="right" wrapText="1"/>
      <protection hidden="1"/>
    </xf>
    <xf numFmtId="10" fontId="1" fillId="0" borderId="0" xfId="0" applyNumberFormat="1" applyFont="1" applyFill="1" applyBorder="1" applyAlignment="1" applyProtection="1">
      <alignment horizontal="right"/>
      <protection hidden="1"/>
    </xf>
    <xf numFmtId="10" fontId="0" fillId="0" borderId="0" xfId="0" applyNumberFormat="1" applyFill="1" applyBorder="1" applyProtection="1">
      <protection hidden="1"/>
    </xf>
    <xf numFmtId="0" fontId="0" fillId="0" borderId="16" xfId="0" applyBorder="1" applyProtection="1">
      <protection hidden="1"/>
    </xf>
    <xf numFmtId="44" fontId="0" fillId="0" borderId="13" xfId="0" applyNumberFormat="1" applyBorder="1" applyProtection="1">
      <protection hidden="1"/>
    </xf>
    <xf numFmtId="0" fontId="1" fillId="0" borderId="2" xfId="0" applyFont="1" applyFill="1" applyBorder="1" applyAlignment="1" applyProtection="1">
      <alignment horizontal="left" indent="2"/>
      <protection hidden="1"/>
    </xf>
    <xf numFmtId="2" fontId="0" fillId="0" borderId="18" xfId="3" applyNumberFormat="1" applyFont="1" applyFill="1" applyBorder="1" applyAlignment="1" applyProtection="1">
      <alignment horizontal="right" wrapText="1"/>
      <protection hidden="1"/>
    </xf>
    <xf numFmtId="10" fontId="1" fillId="0" borderId="17" xfId="0" applyNumberFormat="1" applyFont="1" applyFill="1" applyBorder="1" applyAlignment="1" applyProtection="1">
      <alignment horizontal="right"/>
      <protection hidden="1"/>
    </xf>
    <xf numFmtId="44" fontId="0" fillId="0" borderId="0" xfId="0" applyNumberFormat="1" applyProtection="1">
      <protection locked="0"/>
    </xf>
    <xf numFmtId="44" fontId="1" fillId="0" borderId="0" xfId="0" quotePrefix="1" applyNumberFormat="1" applyFont="1" applyBorder="1" applyAlignment="1">
      <alignment horizontal="center"/>
    </xf>
    <xf numFmtId="10" fontId="1" fillId="0" borderId="0" xfId="0" applyNumberFormat="1" applyFont="1" applyFill="1" applyBorder="1" applyAlignment="1" applyProtection="1">
      <alignment horizontal="right"/>
    </xf>
    <xf numFmtId="44" fontId="0" fillId="0" borderId="11" xfId="0" applyNumberFormat="1" applyBorder="1" applyProtection="1">
      <protection hidden="1"/>
    </xf>
    <xf numFmtId="2" fontId="0" fillId="0" borderId="18" xfId="4" applyNumberFormat="1" applyFont="1" applyFill="1" applyBorder="1" applyAlignment="1" applyProtection="1">
      <alignment horizontal="right"/>
      <protection hidden="1"/>
    </xf>
    <xf numFmtId="0" fontId="1" fillId="0" borderId="2" xfId="0" applyFont="1" applyBorder="1"/>
    <xf numFmtId="0" fontId="1" fillId="0" borderId="0" xfId="0" applyFont="1" applyAlignment="1">
      <alignment horizontal="left" indent="2"/>
    </xf>
    <xf numFmtId="44" fontId="0" fillId="0" borderId="0" xfId="1" applyFont="1" applyFill="1" applyBorder="1" applyAlignment="1" applyProtection="1">
      <protection hidden="1"/>
    </xf>
    <xf numFmtId="2" fontId="0" fillId="0" borderId="0" xfId="4" applyNumberFormat="1" applyFont="1" applyFill="1" applyBorder="1" applyAlignment="1" applyProtection="1">
      <alignment horizontal="right"/>
    </xf>
    <xf numFmtId="0" fontId="1" fillId="0" borderId="38" xfId="0" applyFont="1" applyBorder="1" applyAlignment="1" applyProtection="1">
      <alignment horizontal="left"/>
      <protection hidden="1"/>
    </xf>
    <xf numFmtId="0" fontId="1" fillId="0" borderId="20" xfId="0" applyFont="1" applyBorder="1" applyAlignment="1" applyProtection="1">
      <alignment horizontal="left"/>
      <protection hidden="1"/>
    </xf>
    <xf numFmtId="0" fontId="1" fillId="0" borderId="21" xfId="0" applyFont="1" applyBorder="1" applyAlignment="1" applyProtection="1">
      <alignment horizontal="left"/>
      <protection hidden="1"/>
    </xf>
    <xf numFmtId="0" fontId="0" fillId="0" borderId="37" xfId="0" applyBorder="1" applyAlignment="1" applyProtection="1">
      <alignment horizontal="left"/>
      <protection hidden="1"/>
    </xf>
    <xf numFmtId="0" fontId="1" fillId="9" borderId="35" xfId="0" applyFont="1" applyFill="1" applyBorder="1" applyAlignment="1" applyProtection="1">
      <alignment horizontal="center"/>
      <protection locked="0"/>
    </xf>
    <xf numFmtId="0" fontId="0" fillId="9" borderId="33" xfId="0" applyFill="1" applyBorder="1" applyAlignment="1" applyProtection="1">
      <alignment horizontal="center"/>
      <protection locked="0"/>
    </xf>
    <xf numFmtId="0" fontId="1" fillId="9" borderId="34" xfId="0" applyFont="1" applyFill="1" applyBorder="1" applyAlignment="1" applyProtection="1">
      <alignment horizontal="center"/>
      <protection locked="0"/>
    </xf>
    <xf numFmtId="0" fontId="1" fillId="9" borderId="33" xfId="0" applyFont="1" applyFill="1" applyBorder="1" applyAlignment="1" applyProtection="1">
      <alignment horizontal="center"/>
      <protection locked="0"/>
    </xf>
    <xf numFmtId="0" fontId="1" fillId="0" borderId="37" xfId="0" applyFont="1" applyBorder="1" applyAlignment="1" applyProtection="1">
      <alignment horizontal="left"/>
      <protection hidden="1"/>
    </xf>
    <xf numFmtId="0" fontId="1" fillId="0" borderId="19" xfId="0" applyFont="1" applyBorder="1" applyAlignment="1" applyProtection="1">
      <alignment horizontal="left"/>
      <protection hidden="1"/>
    </xf>
    <xf numFmtId="0" fontId="22" fillId="0" borderId="32" xfId="0" applyFont="1" applyBorder="1" applyAlignment="1" applyProtection="1">
      <alignment horizontal="center" vertical="center"/>
      <protection hidden="1"/>
    </xf>
    <xf numFmtId="0" fontId="22" fillId="0" borderId="35" xfId="0" applyFont="1" applyBorder="1" applyAlignment="1" applyProtection="1">
      <alignment horizontal="center" vertical="center"/>
      <protection hidden="1"/>
    </xf>
    <xf numFmtId="0" fontId="22" fillId="0" borderId="36" xfId="0" applyFont="1" applyBorder="1" applyAlignment="1" applyProtection="1">
      <alignment horizontal="center" vertical="center"/>
      <protection hidden="1"/>
    </xf>
    <xf numFmtId="0" fontId="6" fillId="0" borderId="20" xfId="0" applyFont="1" applyBorder="1" applyAlignment="1" applyProtection="1">
      <alignment horizontal="left" vertical="center"/>
      <protection hidden="1"/>
    </xf>
    <xf numFmtId="0" fontId="6" fillId="0" borderId="0" xfId="0" applyFont="1" applyAlignment="1" applyProtection="1">
      <alignment horizontal="left" vertical="center"/>
      <protection hidden="1"/>
    </xf>
    <xf numFmtId="0" fontId="1" fillId="0" borderId="20" xfId="0" applyFont="1" applyBorder="1" applyAlignment="1" applyProtection="1">
      <alignment horizontal="left" wrapText="1" indent="4"/>
      <protection hidden="1"/>
    </xf>
    <xf numFmtId="0" fontId="0" fillId="0" borderId="20" xfId="0" applyBorder="1" applyAlignment="1" applyProtection="1">
      <alignment horizontal="left" indent="4"/>
      <protection hidden="1"/>
    </xf>
    <xf numFmtId="0" fontId="0" fillId="0" borderId="0" xfId="0" applyBorder="1" applyAlignment="1" applyProtection="1">
      <alignment horizontal="left" indent="4"/>
      <protection hidden="1"/>
    </xf>
    <xf numFmtId="0" fontId="2" fillId="8" borderId="27" xfId="0" applyFont="1" applyFill="1" applyBorder="1" applyAlignment="1" applyProtection="1">
      <alignment horizontal="center"/>
      <protection hidden="1"/>
    </xf>
    <xf numFmtId="0" fontId="2" fillId="8" borderId="8" xfId="0" applyFont="1" applyFill="1" applyBorder="1" applyAlignment="1" applyProtection="1">
      <alignment horizontal="center"/>
      <protection hidden="1"/>
    </xf>
    <xf numFmtId="0" fontId="2" fillId="8" borderId="9" xfId="0" applyFont="1" applyFill="1" applyBorder="1" applyAlignment="1" applyProtection="1">
      <alignment horizontal="center"/>
      <protection hidden="1"/>
    </xf>
    <xf numFmtId="44" fontId="0" fillId="0" borderId="18" xfId="1" applyFont="1" applyFill="1" applyBorder="1" applyAlignment="1" applyProtection="1">
      <alignment horizontal="center"/>
      <protection hidden="1"/>
    </xf>
    <xf numFmtId="44" fontId="0" fillId="0" borderId="9" xfId="1" applyFont="1" applyFill="1" applyBorder="1" applyAlignment="1" applyProtection="1">
      <alignment horizontal="center"/>
      <protection hidden="1"/>
    </xf>
    <xf numFmtId="44" fontId="2" fillId="0" borderId="18" xfId="1" applyFont="1" applyBorder="1" applyAlignment="1" applyProtection="1">
      <alignment horizontal="center"/>
      <protection hidden="1"/>
    </xf>
    <xf numFmtId="44" fontId="2" fillId="0" borderId="9" xfId="1" applyFont="1" applyBorder="1" applyAlignment="1" applyProtection="1">
      <alignment horizontal="center"/>
      <protection hidden="1"/>
    </xf>
    <xf numFmtId="0" fontId="1" fillId="0" borderId="24" xfId="0" applyFont="1" applyBorder="1" applyAlignment="1" applyProtection="1">
      <alignment horizontal="left" vertical="center" wrapText="1" indent="1"/>
      <protection hidden="1"/>
    </xf>
    <xf numFmtId="0" fontId="1" fillId="0" borderId="14" xfId="0" applyFont="1" applyBorder="1" applyAlignment="1" applyProtection="1">
      <alignment horizontal="left" vertical="center" indent="1"/>
      <protection hidden="1"/>
    </xf>
    <xf numFmtId="0" fontId="1" fillId="0" borderId="25" xfId="0" applyFont="1" applyBorder="1" applyAlignment="1" applyProtection="1">
      <alignment horizontal="left" vertical="center" indent="1"/>
      <protection hidden="1"/>
    </xf>
    <xf numFmtId="0" fontId="1" fillId="0" borderId="22" xfId="0" applyFont="1" applyBorder="1" applyAlignment="1" applyProtection="1">
      <alignment horizontal="left" vertical="center" indent="1"/>
      <protection hidden="1"/>
    </xf>
    <xf numFmtId="0" fontId="1" fillId="0" borderId="0" xfId="0" applyFont="1" applyBorder="1" applyAlignment="1" applyProtection="1">
      <alignment horizontal="left" vertical="center" indent="1"/>
      <protection hidden="1"/>
    </xf>
    <xf numFmtId="0" fontId="1" fillId="0" borderId="23" xfId="0" applyFont="1" applyBorder="1" applyAlignment="1" applyProtection="1">
      <alignment horizontal="left" vertical="center" indent="1"/>
      <protection hidden="1"/>
    </xf>
    <xf numFmtId="14" fontId="0" fillId="9" borderId="32" xfId="0" applyNumberFormat="1" applyFill="1" applyBorder="1" applyAlignment="1" applyProtection="1">
      <alignment horizontal="left"/>
      <protection locked="0"/>
    </xf>
    <xf numFmtId="14" fontId="0" fillId="9" borderId="33" xfId="0" applyNumberFormat="1" applyFill="1" applyBorder="1" applyAlignment="1" applyProtection="1">
      <alignment horizontal="left"/>
      <protection locked="0"/>
    </xf>
    <xf numFmtId="0" fontId="0" fillId="9" borderId="34" xfId="0" applyFill="1" applyBorder="1" applyAlignment="1" applyProtection="1">
      <alignment horizontal="center"/>
      <protection locked="0"/>
    </xf>
    <xf numFmtId="0" fontId="0" fillId="9" borderId="35" xfId="0" applyFill="1" applyBorder="1" applyAlignment="1" applyProtection="1">
      <alignment horizontal="center"/>
      <protection locked="0"/>
    </xf>
    <xf numFmtId="0" fontId="0" fillId="9" borderId="36" xfId="0" applyFill="1" applyBorder="1" applyAlignment="1" applyProtection="1">
      <alignment horizontal="center"/>
      <protection locked="0"/>
    </xf>
    <xf numFmtId="44" fontId="0" fillId="0" borderId="18" xfId="1" applyFont="1" applyBorder="1" applyAlignment="1" applyProtection="1">
      <alignment horizontal="center"/>
      <protection hidden="1"/>
    </xf>
    <xf numFmtId="44" fontId="0" fillId="0" borderId="9" xfId="1" applyFont="1" applyBorder="1" applyAlignment="1" applyProtection="1">
      <alignment horizontal="center"/>
      <protection hidden="1"/>
    </xf>
    <xf numFmtId="0" fontId="1" fillId="0" borderId="19" xfId="0" applyFont="1" applyBorder="1" applyAlignment="1" applyProtection="1">
      <alignment horizontal="left" vertical="center" wrapText="1"/>
      <protection hidden="1"/>
    </xf>
    <xf numFmtId="0" fontId="1" fillId="0" borderId="20" xfId="0" applyFont="1" applyBorder="1" applyAlignment="1" applyProtection="1">
      <alignment horizontal="left" vertical="center" wrapText="1"/>
      <protection hidden="1"/>
    </xf>
    <xf numFmtId="0" fontId="1" fillId="0" borderId="21"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2" xfId="0" applyFont="1" applyBorder="1" applyAlignment="1" applyProtection="1">
      <alignment horizontal="left" wrapText="1"/>
      <protection hidden="1"/>
    </xf>
    <xf numFmtId="0" fontId="1" fillId="0" borderId="0" xfId="0" applyFont="1" applyBorder="1" applyAlignment="1" applyProtection="1">
      <alignment horizontal="left" wrapText="1"/>
      <protection hidden="1"/>
    </xf>
    <xf numFmtId="0" fontId="1" fillId="0" borderId="23" xfId="0" applyFont="1" applyBorder="1" applyAlignment="1" applyProtection="1">
      <alignment horizontal="left" wrapText="1"/>
      <protection hidden="1"/>
    </xf>
    <xf numFmtId="0" fontId="4" fillId="0" borderId="35" xfId="0" applyFont="1" applyBorder="1" applyAlignment="1" applyProtection="1">
      <alignment horizontal="center" vertical="center"/>
      <protection hidden="1"/>
    </xf>
    <xf numFmtId="0" fontId="1" fillId="0" borderId="24"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0" fontId="1" fillId="0" borderId="16" xfId="0" applyFont="1" applyBorder="1" applyAlignment="1" applyProtection="1">
      <alignment horizontal="left" vertical="center" wrapText="1"/>
      <protection hidden="1"/>
    </xf>
    <xf numFmtId="0" fontId="1" fillId="0" borderId="26" xfId="0" applyFont="1" applyBorder="1" applyAlignment="1" applyProtection="1">
      <alignment horizontal="left" vertical="center" wrapText="1"/>
      <protection hidden="1"/>
    </xf>
    <xf numFmtId="0" fontId="1" fillId="0" borderId="5"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hidden="1"/>
    </xf>
    <xf numFmtId="0" fontId="1" fillId="0" borderId="18" xfId="0" applyFont="1" applyBorder="1" applyAlignment="1" applyProtection="1">
      <alignment horizontal="center"/>
      <protection hidden="1"/>
    </xf>
    <xf numFmtId="0" fontId="1" fillId="0" borderId="8" xfId="0" applyFont="1" applyBorder="1" applyAlignment="1" applyProtection="1">
      <alignment horizontal="center"/>
      <protection hidden="1"/>
    </xf>
    <xf numFmtId="0" fontId="1" fillId="0" borderId="9" xfId="0" applyFont="1" applyBorder="1" applyAlignment="1" applyProtection="1">
      <alignment horizontal="center"/>
      <protection hidden="1"/>
    </xf>
    <xf numFmtId="0" fontId="1" fillId="9" borderId="18" xfId="0" applyFont="1" applyFill="1" applyBorder="1" applyAlignment="1" applyProtection="1">
      <alignment horizontal="center" vertical="center"/>
      <protection locked="0"/>
    </xf>
    <xf numFmtId="0" fontId="1" fillId="9" borderId="8" xfId="0" applyFont="1" applyFill="1" applyBorder="1" applyAlignment="1" applyProtection="1">
      <alignment horizontal="center" vertical="center"/>
      <protection locked="0"/>
    </xf>
    <xf numFmtId="0" fontId="1" fillId="9" borderId="9" xfId="0" applyFont="1" applyFill="1" applyBorder="1" applyAlignment="1" applyProtection="1">
      <alignment horizontal="center" vertical="center"/>
      <protection locked="0"/>
    </xf>
    <xf numFmtId="44" fontId="0" fillId="9" borderId="12" xfId="1" applyFont="1" applyFill="1" applyBorder="1" applyAlignment="1" applyProtection="1">
      <alignment horizontal="center"/>
      <protection locked="0"/>
    </xf>
    <xf numFmtId="44" fontId="0" fillId="9" borderId="10" xfId="1" applyFont="1" applyFill="1" applyBorder="1" applyAlignment="1" applyProtection="1">
      <alignment horizontal="center"/>
      <protection locked="0"/>
    </xf>
    <xf numFmtId="44" fontId="0" fillId="9" borderId="18" xfId="1" applyFont="1" applyFill="1" applyBorder="1" applyAlignment="1" applyProtection="1">
      <alignment horizontal="center"/>
      <protection locked="0"/>
    </xf>
    <xf numFmtId="44" fontId="0" fillId="9" borderId="9" xfId="1" applyFont="1" applyFill="1" applyBorder="1" applyAlignment="1" applyProtection="1">
      <alignment horizontal="center"/>
      <protection locked="0"/>
    </xf>
    <xf numFmtId="0" fontId="6" fillId="7" borderId="15" xfId="0" applyFont="1" applyFill="1" applyBorder="1" applyAlignment="1" applyProtection="1">
      <alignment horizontal="left"/>
      <protection hidden="1"/>
    </xf>
    <xf numFmtId="0" fontId="6" fillId="7" borderId="14" xfId="0" applyFont="1" applyFill="1" applyBorder="1" applyAlignment="1" applyProtection="1">
      <alignment horizontal="left"/>
      <protection hidden="1"/>
    </xf>
    <xf numFmtId="0" fontId="7" fillId="7" borderId="14" xfId="2" applyFill="1" applyBorder="1" applyAlignment="1" applyProtection="1">
      <alignment horizontal="left"/>
      <protection hidden="1"/>
    </xf>
    <xf numFmtId="0" fontId="7" fillId="7" borderId="16" xfId="2" applyFill="1" applyBorder="1" applyAlignment="1" applyProtection="1">
      <alignment horizontal="left"/>
      <protection hidden="1"/>
    </xf>
    <xf numFmtId="0" fontId="13" fillId="0" borderId="0" xfId="0" applyFont="1" applyAlignment="1" applyProtection="1">
      <alignment vertical="center" wrapText="1"/>
      <protection hidden="1"/>
    </xf>
    <xf numFmtId="0" fontId="13" fillId="0" borderId="0" xfId="0" applyFont="1" applyAlignment="1" applyProtection="1">
      <alignment wrapText="1"/>
      <protection hidden="1"/>
    </xf>
    <xf numFmtId="0" fontId="6" fillId="7" borderId="16" xfId="0" applyFont="1" applyFill="1" applyBorder="1" applyAlignment="1" applyProtection="1">
      <alignment horizontal="left"/>
      <protection hidden="1"/>
    </xf>
    <xf numFmtId="0" fontId="4" fillId="0" borderId="5" xfId="0" applyFont="1" applyBorder="1" applyAlignment="1" applyProtection="1">
      <alignment horizontal="center" vertical="center"/>
      <protection hidden="1"/>
    </xf>
    <xf numFmtId="0" fontId="3" fillId="0" borderId="12" xfId="0" applyFont="1" applyFill="1" applyBorder="1" applyAlignment="1" applyProtection="1">
      <alignment horizontal="left"/>
      <protection hidden="1"/>
    </xf>
    <xf numFmtId="0" fontId="3" fillId="0" borderId="5" xfId="0" applyFont="1" applyFill="1" applyBorder="1" applyAlignment="1" applyProtection="1">
      <alignment horizontal="left"/>
      <protection hidden="1"/>
    </xf>
    <xf numFmtId="0" fontId="6" fillId="7" borderId="2" xfId="0" applyFont="1" applyFill="1" applyBorder="1" applyAlignment="1" applyProtection="1">
      <alignment horizontal="left"/>
      <protection hidden="1"/>
    </xf>
    <xf numFmtId="0" fontId="6" fillId="7" borderId="0" xfId="0" applyFont="1" applyFill="1" applyBorder="1" applyAlignment="1" applyProtection="1">
      <alignment horizontal="left"/>
      <protection hidden="1"/>
    </xf>
    <xf numFmtId="0" fontId="6" fillId="7" borderId="11" xfId="0" applyFont="1" applyFill="1" applyBorder="1" applyAlignment="1" applyProtection="1">
      <alignment horizontal="left"/>
      <protection hidden="1"/>
    </xf>
    <xf numFmtId="0" fontId="22" fillId="0" borderId="0" xfId="0" applyNumberFormat="1" applyFont="1" applyBorder="1" applyAlignment="1" applyProtection="1">
      <alignment horizontal="center"/>
      <protection hidden="1"/>
    </xf>
    <xf numFmtId="0" fontId="14" fillId="0" borderId="0" xfId="0" applyFont="1" applyAlignment="1">
      <alignment horizontal="left" vertical="top" wrapText="1"/>
    </xf>
    <xf numFmtId="0" fontId="6" fillId="7" borderId="15" xfId="0" applyFont="1" applyFill="1" applyBorder="1" applyAlignment="1">
      <alignment horizontal="left"/>
    </xf>
    <xf numFmtId="0" fontId="6" fillId="7" borderId="14" xfId="0" applyFont="1" applyFill="1" applyBorder="1" applyAlignment="1">
      <alignment horizontal="left"/>
    </xf>
    <xf numFmtId="0" fontId="7" fillId="7" borderId="14" xfId="2" applyFill="1" applyBorder="1" applyAlignment="1" applyProtection="1">
      <alignment horizontal="left"/>
    </xf>
    <xf numFmtId="0" fontId="7" fillId="7" borderId="16" xfId="2" applyFill="1" applyBorder="1" applyAlignment="1" applyProtection="1">
      <alignment horizontal="left"/>
    </xf>
    <xf numFmtId="0" fontId="6" fillId="7" borderId="16" xfId="0" applyFont="1" applyFill="1" applyBorder="1" applyAlignment="1">
      <alignment horizontal="left"/>
    </xf>
    <xf numFmtId="0" fontId="4" fillId="0" borderId="0" xfId="0" applyFont="1" applyBorder="1" applyAlignment="1">
      <alignment horizontal="center" vertical="center"/>
    </xf>
    <xf numFmtId="0" fontId="3" fillId="0" borderId="12" xfId="0" applyFont="1" applyFill="1" applyBorder="1" applyAlignment="1">
      <alignment horizontal="left"/>
    </xf>
    <xf numFmtId="0" fontId="3" fillId="0" borderId="5" xfId="0" applyFont="1" applyFill="1" applyBorder="1" applyAlignment="1">
      <alignment horizontal="left"/>
    </xf>
    <xf numFmtId="0" fontId="6" fillId="7" borderId="2" xfId="0" applyFont="1" applyFill="1" applyBorder="1" applyAlignment="1">
      <alignment horizontal="left"/>
    </xf>
    <xf numFmtId="0" fontId="6" fillId="7" borderId="0" xfId="0" applyFont="1" applyFill="1" applyBorder="1" applyAlignment="1">
      <alignment horizontal="left"/>
    </xf>
    <xf numFmtId="0" fontId="6" fillId="7" borderId="11" xfId="0" applyFont="1" applyFill="1" applyBorder="1" applyAlignment="1">
      <alignment horizontal="left"/>
    </xf>
    <xf numFmtId="49" fontId="0" fillId="0" borderId="5" xfId="0" applyNumberFormat="1" applyBorder="1" applyAlignment="1">
      <alignment horizontal="center"/>
    </xf>
  </cellXfs>
  <cellStyles count="5">
    <cellStyle name="Comma" xfId="4" builtinId="3"/>
    <cellStyle name="Currency" xfId="1" builtinId="4"/>
    <cellStyle name="Hyperlink" xfId="2" builtinId="8"/>
    <cellStyle name="Normal" xfId="0" builtinId="0"/>
    <cellStyle name="Percent" xfId="3" builtinId="5"/>
  </cellStyles>
  <dxfs count="4">
    <dxf>
      <font>
        <b/>
        <i val="0"/>
        <condense val="0"/>
        <extend val="0"/>
        <color indexed="10"/>
      </font>
    </dxf>
    <dxf>
      <font>
        <b/>
        <i val="0"/>
        <condense val="0"/>
        <extend val="0"/>
        <color indexed="17"/>
      </font>
    </dxf>
    <dxf>
      <font>
        <color auto="1"/>
      </font>
    </dxf>
    <dxf>
      <font>
        <b/>
        <i val="0"/>
        <color rgb="FFFF0000"/>
      </font>
    </dxf>
  </dxfs>
  <tableStyles count="0" defaultTableStyle="TableStyleMedium9" defaultPivotStyle="PivotStyleLight16"/>
  <colors>
    <mruColors>
      <color rgb="FF99CC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fmlaLink="$P$22" lockText="1" noThreeD="1"/>
</file>

<file path=xl/ctrlProps/ctrlProp11.xml><?xml version="1.0" encoding="utf-8"?>
<formControlPr xmlns="http://schemas.microsoft.com/office/spreadsheetml/2009/9/main" objectType="CheckBox" fmlaLink="$P$20" lockText="1" noThreeD="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Lines="17" dropStyle="combo" dx="16" fmlaLink="$P$8" fmlaRange="'County Loan Limits'!$H$5:$H$234" val="0"/>
</file>

<file path=xl/ctrlProps/ctrlProp3.xml><?xml version="1.0" encoding="utf-8"?>
<formControlPr xmlns="http://schemas.microsoft.com/office/spreadsheetml/2009/9/main" objectType="CheckBox" fmlaLink="$P$26" lockText="1" noThreeD="1"/>
</file>

<file path=xl/ctrlProps/ctrlProp4.xml><?xml version="1.0" encoding="utf-8"?>
<formControlPr xmlns="http://schemas.microsoft.com/office/spreadsheetml/2009/9/main" objectType="CheckBox" fmlaLink="$P$27" lockText="1" noThreeD="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CheckBox" fmlaLink="$P$25" lockText="1" noThreeD="1"/>
</file>

<file path=xl/ctrlProps/ctrlProp7.xml><?xml version="1.0" encoding="utf-8"?>
<formControlPr xmlns="http://schemas.microsoft.com/office/spreadsheetml/2009/9/main" objectType="Drop" dropLines="17" dropStyle="combo" dx="16" fmlaLink="$P$8" fmlaRange="'County Loan Limits'!$H$5:$H$234" val="0"/>
</file>

<file path=xl/ctrlProps/ctrlProp8.xml><?xml version="1.0" encoding="utf-8"?>
<formControlPr xmlns="http://schemas.microsoft.com/office/spreadsheetml/2009/9/main" objectType="Drop" dropLines="3" dropStyle="combo" dx="16" fmlaLink="$P$3" fmlaRange="'County Loan Limits'!$N$5:$N$7" val="0"/>
</file>

<file path=xl/ctrlProps/ctrlProp9.xml><?xml version="1.0" encoding="utf-8"?>
<formControlPr xmlns="http://schemas.microsoft.com/office/spreadsheetml/2009/9/main" objectType="CheckBox" fmlaLink="$P$21"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66675</xdr:colOff>
          <xdr:row>1</xdr:row>
          <xdr:rowOff>0</xdr:rowOff>
        </xdr:from>
        <xdr:to>
          <xdr:col>20</xdr:col>
          <xdr:colOff>57150</xdr:colOff>
          <xdr:row>3</xdr:row>
          <xdr:rowOff>9525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Clear All Values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46</xdr:row>
      <xdr:rowOff>104775</xdr:rowOff>
    </xdr:from>
    <xdr:to>
      <xdr:col>10</xdr:col>
      <xdr:colOff>901700</xdr:colOff>
      <xdr:row>58</xdr:row>
      <xdr:rowOff>133350</xdr:rowOff>
    </xdr:to>
    <xdr:pic>
      <xdr:nvPicPr>
        <xdr:cNvPr id="1025" name="Picture 60"/>
        <xdr:cNvPicPr>
          <a:picLocks noChangeAspect="1" noChangeArrowheads="1"/>
        </xdr:cNvPicPr>
      </xdr:nvPicPr>
      <xdr:blipFill>
        <a:blip xmlns:r="http://schemas.openxmlformats.org/officeDocument/2006/relationships" r:embed="rId1" cstate="print"/>
        <a:srcRect/>
        <a:stretch>
          <a:fillRect/>
        </a:stretch>
      </xdr:blipFill>
      <xdr:spPr bwMode="auto">
        <a:xfrm>
          <a:off x="266700" y="6467475"/>
          <a:ext cx="6219825" cy="1743075"/>
        </a:xfrm>
        <a:prstGeom prst="rect">
          <a:avLst/>
        </a:prstGeom>
        <a:noFill/>
        <a:ln w="1">
          <a:noFill/>
          <a:miter lim="800000"/>
          <a:headEnd/>
          <a:tailEnd/>
        </a:ln>
      </xdr:spPr>
    </xdr:pic>
    <xdr:clientData/>
  </xdr:twoCellAnchor>
  <xdr:twoCellAnchor>
    <xdr:from>
      <xdr:col>12</xdr:col>
      <xdr:colOff>9525</xdr:colOff>
      <xdr:row>12</xdr:row>
      <xdr:rowOff>57150</xdr:rowOff>
    </xdr:from>
    <xdr:to>
      <xdr:col>13</xdr:col>
      <xdr:colOff>238125</xdr:colOff>
      <xdr:row>12</xdr:row>
      <xdr:rowOff>123825</xdr:rowOff>
    </xdr:to>
    <xdr:cxnSp macro="">
      <xdr:nvCxnSpPr>
        <xdr:cNvPr id="1026" name="AutoShape 61"/>
        <xdr:cNvCxnSpPr>
          <a:cxnSpLocks noChangeShapeType="1"/>
        </xdr:cNvCxnSpPr>
      </xdr:nvCxnSpPr>
      <xdr:spPr bwMode="auto">
        <a:xfrm>
          <a:off x="7162800" y="1866900"/>
          <a:ext cx="333375" cy="66675"/>
        </a:xfrm>
        <a:prstGeom prst="bentConnector3">
          <a:avLst>
            <a:gd name="adj1" fmla="val 98782"/>
          </a:avLst>
        </a:prstGeom>
        <a:noFill/>
        <a:ln w="9525">
          <a:solidFill>
            <a:srgbClr val="000000"/>
          </a:solidFill>
          <a:miter lim="800000"/>
          <a:headEnd/>
          <a:tailEnd/>
        </a:ln>
      </xdr:spPr>
    </xdr:cxnSp>
    <xdr:clientData/>
  </xdr:twoCellAnchor>
  <xdr:twoCellAnchor>
    <xdr:from>
      <xdr:col>12</xdr:col>
      <xdr:colOff>9525</xdr:colOff>
      <xdr:row>14</xdr:row>
      <xdr:rowOff>0</xdr:rowOff>
    </xdr:from>
    <xdr:to>
      <xdr:col>13</xdr:col>
      <xdr:colOff>238125</xdr:colOff>
      <xdr:row>14</xdr:row>
      <xdr:rowOff>76200</xdr:rowOff>
    </xdr:to>
    <xdr:cxnSp macro="">
      <xdr:nvCxnSpPr>
        <xdr:cNvPr id="1027" name="AutoShape 62"/>
        <xdr:cNvCxnSpPr>
          <a:cxnSpLocks noChangeShapeType="1"/>
        </xdr:cNvCxnSpPr>
      </xdr:nvCxnSpPr>
      <xdr:spPr bwMode="auto">
        <a:xfrm flipV="1">
          <a:off x="7162800" y="2114550"/>
          <a:ext cx="333375" cy="76200"/>
        </a:xfrm>
        <a:prstGeom prst="bentConnector3">
          <a:avLst>
            <a:gd name="adj1" fmla="val 99995"/>
          </a:avLst>
        </a:prstGeom>
        <a:noFill/>
        <a:ln w="9525">
          <a:solidFill>
            <a:srgbClr val="000000"/>
          </a:solidFill>
          <a:miter lim="800000"/>
          <a:headEnd/>
          <a:tailEnd/>
        </a:ln>
      </xdr:spPr>
    </xdr:cxnSp>
    <xdr:clientData/>
  </xdr:twoCellAnchor>
  <xdr:twoCellAnchor>
    <xdr:from>
      <xdr:col>12</xdr:col>
      <xdr:colOff>0</xdr:colOff>
      <xdr:row>14</xdr:row>
      <xdr:rowOff>133350</xdr:rowOff>
    </xdr:from>
    <xdr:to>
      <xdr:col>13</xdr:col>
      <xdr:colOff>238125</xdr:colOff>
      <xdr:row>16</xdr:row>
      <xdr:rowOff>180975</xdr:rowOff>
    </xdr:to>
    <xdr:cxnSp macro="">
      <xdr:nvCxnSpPr>
        <xdr:cNvPr id="1028" name="AutoShape 63"/>
        <xdr:cNvCxnSpPr>
          <a:cxnSpLocks noChangeShapeType="1"/>
        </xdr:cNvCxnSpPr>
      </xdr:nvCxnSpPr>
      <xdr:spPr bwMode="auto">
        <a:xfrm rot="16200000" flipH="1">
          <a:off x="7177087" y="2224088"/>
          <a:ext cx="295275" cy="342900"/>
        </a:xfrm>
        <a:prstGeom prst="bentConnector3">
          <a:avLst>
            <a:gd name="adj1" fmla="val -5"/>
          </a:avLst>
        </a:prstGeom>
        <a:noFill/>
        <a:ln w="9525">
          <a:solidFill>
            <a:srgbClr val="000000"/>
          </a:solidFill>
          <a:miter lim="800000"/>
          <a:headEnd/>
          <a:tailEnd/>
        </a:ln>
      </xdr:spPr>
    </xdr:cxnSp>
    <xdr:clientData/>
  </xdr:twoCellAnchor>
  <xdr:twoCellAnchor>
    <xdr:from>
      <xdr:col>12</xdr:col>
      <xdr:colOff>9525</xdr:colOff>
      <xdr:row>18</xdr:row>
      <xdr:rowOff>0</xdr:rowOff>
    </xdr:from>
    <xdr:to>
      <xdr:col>13</xdr:col>
      <xdr:colOff>238125</xdr:colOff>
      <xdr:row>20</xdr:row>
      <xdr:rowOff>95250</xdr:rowOff>
    </xdr:to>
    <xdr:cxnSp macro="">
      <xdr:nvCxnSpPr>
        <xdr:cNvPr id="1029" name="AutoShape 64"/>
        <xdr:cNvCxnSpPr>
          <a:cxnSpLocks noChangeShapeType="1"/>
        </xdr:cNvCxnSpPr>
      </xdr:nvCxnSpPr>
      <xdr:spPr bwMode="auto">
        <a:xfrm rot="-5400000">
          <a:off x="7129463" y="2719387"/>
          <a:ext cx="400050" cy="333375"/>
        </a:xfrm>
        <a:prstGeom prst="bentConnector3">
          <a:avLst>
            <a:gd name="adj1" fmla="val -5"/>
          </a:avLst>
        </a:prstGeom>
        <a:noFill/>
        <a:ln w="9525">
          <a:solidFill>
            <a:srgbClr val="000000"/>
          </a:solidFill>
          <a:miter lim="800000"/>
          <a:headEnd/>
          <a:tailEnd/>
        </a:ln>
      </xdr:spPr>
    </xdr:cxnSp>
    <xdr:clientData/>
  </xdr:twoCellAnchor>
  <xdr:twoCellAnchor>
    <xdr:from>
      <xdr:col>6</xdr:col>
      <xdr:colOff>349250</xdr:colOff>
      <xdr:row>75</xdr:row>
      <xdr:rowOff>50800</xdr:rowOff>
    </xdr:from>
    <xdr:to>
      <xdr:col>6</xdr:col>
      <xdr:colOff>603250</xdr:colOff>
      <xdr:row>77</xdr:row>
      <xdr:rowOff>50800</xdr:rowOff>
    </xdr:to>
    <xdr:sp macro="" textlink="">
      <xdr:nvSpPr>
        <xdr:cNvPr id="2" name="TextBox 1"/>
        <xdr:cNvSpPr txBox="1"/>
      </xdr:nvSpPr>
      <xdr:spPr>
        <a:xfrm>
          <a:off x="2089150" y="10915650"/>
          <a:ext cx="2540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8</xdr:col>
      <xdr:colOff>1536700</xdr:colOff>
      <xdr:row>70</xdr:row>
      <xdr:rowOff>133350</xdr:rowOff>
    </xdr:from>
    <xdr:to>
      <xdr:col>8</xdr:col>
      <xdr:colOff>1703388</xdr:colOff>
      <xdr:row>72</xdr:row>
      <xdr:rowOff>19050</xdr:rowOff>
    </xdr:to>
    <xdr:pic>
      <xdr:nvPicPr>
        <xdr:cNvPr id="10" name="Picture 9" descr="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4100" y="10267950"/>
          <a:ext cx="166688"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1057275</xdr:colOff>
          <xdr:row>8</xdr:row>
          <xdr:rowOff>47625</xdr:rowOff>
        </xdr:from>
        <xdr:to>
          <xdr:col>10</xdr:col>
          <xdr:colOff>1085850</xdr:colOff>
          <xdr:row>8</xdr:row>
          <xdr:rowOff>228600</xdr:rowOff>
        </xdr:to>
        <xdr:sp macro="" textlink="">
          <xdr:nvSpPr>
            <xdr:cNvPr id="3" name="Drop Dow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142875</xdr:rowOff>
        </xdr:from>
        <xdr:to>
          <xdr:col>2</xdr:col>
          <xdr:colOff>209550</xdr:colOff>
          <xdr:row>25</xdr:row>
          <xdr:rowOff>133350</xdr:rowOff>
        </xdr:to>
        <xdr:sp macro="" textlink="">
          <xdr:nvSpPr>
            <xdr:cNvPr id="4"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142875</xdr:rowOff>
        </xdr:from>
        <xdr:to>
          <xdr:col>2</xdr:col>
          <xdr:colOff>238125</xdr:colOff>
          <xdr:row>26</xdr:row>
          <xdr:rowOff>133350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161925</xdr:colOff>
          <xdr:row>1</xdr:row>
          <xdr:rowOff>9525</xdr:rowOff>
        </xdr:from>
        <xdr:to>
          <xdr:col>16</xdr:col>
          <xdr:colOff>247650</xdr:colOff>
          <xdr:row>3</xdr:row>
          <xdr:rowOff>28575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Clear All Values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142875</xdr:rowOff>
        </xdr:from>
        <xdr:to>
          <xdr:col>2</xdr:col>
          <xdr:colOff>209550</xdr:colOff>
          <xdr:row>24</xdr:row>
          <xdr:rowOff>133350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9525</xdr:colOff>
      <xdr:row>16</xdr:row>
      <xdr:rowOff>9525</xdr:rowOff>
    </xdr:from>
    <xdr:to>
      <xdr:col>13</xdr:col>
      <xdr:colOff>228600</xdr:colOff>
      <xdr:row>16</xdr:row>
      <xdr:rowOff>114300</xdr:rowOff>
    </xdr:to>
    <xdr:cxnSp macro="">
      <xdr:nvCxnSpPr>
        <xdr:cNvPr id="2049" name="AutoShape 68"/>
        <xdr:cNvCxnSpPr>
          <a:cxnSpLocks noChangeShapeType="1"/>
        </xdr:cNvCxnSpPr>
      </xdr:nvCxnSpPr>
      <xdr:spPr bwMode="auto">
        <a:xfrm flipV="1">
          <a:off x="7162800" y="2171700"/>
          <a:ext cx="323850" cy="104775"/>
        </a:xfrm>
        <a:prstGeom prst="bentConnector3">
          <a:avLst>
            <a:gd name="adj1" fmla="val 102528"/>
          </a:avLst>
        </a:prstGeom>
        <a:noFill/>
        <a:ln w="9525">
          <a:solidFill>
            <a:srgbClr val="000000"/>
          </a:solidFill>
          <a:miter lim="800000"/>
          <a:headEnd/>
          <a:tailEnd/>
        </a:ln>
      </xdr:spPr>
    </xdr:cxnSp>
    <xdr:clientData/>
  </xdr:twoCellAnchor>
  <xdr:twoCellAnchor>
    <xdr:from>
      <xdr:col>12</xdr:col>
      <xdr:colOff>9525</xdr:colOff>
      <xdr:row>12</xdr:row>
      <xdr:rowOff>66675</xdr:rowOff>
    </xdr:from>
    <xdr:to>
      <xdr:col>13</xdr:col>
      <xdr:colOff>238125</xdr:colOff>
      <xdr:row>12</xdr:row>
      <xdr:rowOff>104775</xdr:rowOff>
    </xdr:to>
    <xdr:cxnSp macro="">
      <xdr:nvCxnSpPr>
        <xdr:cNvPr id="2050" name="AutoShape 69"/>
        <xdr:cNvCxnSpPr>
          <a:cxnSpLocks noChangeShapeType="1"/>
        </xdr:cNvCxnSpPr>
      </xdr:nvCxnSpPr>
      <xdr:spPr bwMode="auto">
        <a:xfrm>
          <a:off x="7162800" y="1619250"/>
          <a:ext cx="333375" cy="38100"/>
        </a:xfrm>
        <a:prstGeom prst="bentConnector3">
          <a:avLst>
            <a:gd name="adj1" fmla="val 100000"/>
          </a:avLst>
        </a:prstGeom>
        <a:noFill/>
        <a:ln w="9525">
          <a:solidFill>
            <a:srgbClr val="000000"/>
          </a:solidFill>
          <a:miter lim="800000"/>
          <a:headEnd/>
          <a:tailEnd/>
        </a:ln>
      </xdr:spPr>
    </xdr:cxnSp>
    <xdr:clientData/>
  </xdr:twoCellAnchor>
  <xdr:twoCellAnchor>
    <xdr:from>
      <xdr:col>12</xdr:col>
      <xdr:colOff>0</xdr:colOff>
      <xdr:row>14</xdr:row>
      <xdr:rowOff>0</xdr:rowOff>
    </xdr:from>
    <xdr:to>
      <xdr:col>13</xdr:col>
      <xdr:colOff>238125</xdr:colOff>
      <xdr:row>14</xdr:row>
      <xdr:rowOff>85725</xdr:rowOff>
    </xdr:to>
    <xdr:cxnSp macro="">
      <xdr:nvCxnSpPr>
        <xdr:cNvPr id="2051" name="AutoShape 70"/>
        <xdr:cNvCxnSpPr>
          <a:cxnSpLocks noChangeShapeType="1"/>
        </xdr:cNvCxnSpPr>
      </xdr:nvCxnSpPr>
      <xdr:spPr bwMode="auto">
        <a:xfrm flipV="1">
          <a:off x="7153275" y="1857375"/>
          <a:ext cx="342900" cy="85725"/>
        </a:xfrm>
        <a:prstGeom prst="bentConnector3">
          <a:avLst>
            <a:gd name="adj1" fmla="val 100000"/>
          </a:avLst>
        </a:prstGeom>
        <a:noFill/>
        <a:ln w="9525">
          <a:solidFill>
            <a:srgbClr val="000000"/>
          </a:solidFill>
          <a:miter lim="800000"/>
          <a:headEnd/>
          <a:tailEnd/>
        </a:ln>
      </xdr:spPr>
    </xdr:cxnSp>
    <xdr:clientData/>
  </xdr:twoCellAnchor>
  <xdr:twoCellAnchor>
    <xdr:from>
      <xdr:col>12</xdr:col>
      <xdr:colOff>9525</xdr:colOff>
      <xdr:row>14</xdr:row>
      <xdr:rowOff>123825</xdr:rowOff>
    </xdr:from>
    <xdr:to>
      <xdr:col>13</xdr:col>
      <xdr:colOff>228600</xdr:colOff>
      <xdr:row>15</xdr:row>
      <xdr:rowOff>0</xdr:rowOff>
    </xdr:to>
    <xdr:cxnSp macro="">
      <xdr:nvCxnSpPr>
        <xdr:cNvPr id="2052" name="AutoShape 71"/>
        <xdr:cNvCxnSpPr>
          <a:cxnSpLocks noChangeShapeType="1"/>
        </xdr:cNvCxnSpPr>
      </xdr:nvCxnSpPr>
      <xdr:spPr bwMode="auto">
        <a:xfrm>
          <a:off x="7162800" y="1981200"/>
          <a:ext cx="323850" cy="19050"/>
        </a:xfrm>
        <a:prstGeom prst="bentConnector3">
          <a:avLst>
            <a:gd name="adj1" fmla="val 100000"/>
          </a:avLst>
        </a:prstGeom>
        <a:noFill/>
        <a:ln w="9525">
          <a:solidFill>
            <a:srgbClr val="000000"/>
          </a:solidFill>
          <a:miter lim="800000"/>
          <a:headEnd/>
          <a:tailEnd/>
        </a:ln>
      </xdr:spPr>
    </xdr:cxnSp>
    <xdr:clientData/>
  </xdr:twoCellAnchor>
  <xdr:twoCellAnchor editAs="oneCell">
    <xdr:from>
      <xdr:col>2</xdr:col>
      <xdr:colOff>28575</xdr:colOff>
      <xdr:row>38</xdr:row>
      <xdr:rowOff>123825</xdr:rowOff>
    </xdr:from>
    <xdr:to>
      <xdr:col>10</xdr:col>
      <xdr:colOff>879475</xdr:colOff>
      <xdr:row>46</xdr:row>
      <xdr:rowOff>38100</xdr:rowOff>
    </xdr:to>
    <xdr:pic>
      <xdr:nvPicPr>
        <xdr:cNvPr id="2053"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276225" y="5372100"/>
          <a:ext cx="6200775" cy="1057275"/>
        </a:xfrm>
        <a:prstGeom prst="rect">
          <a:avLst/>
        </a:prstGeom>
        <a:noFill/>
        <a:ln w="9525">
          <a:noFill/>
          <a:miter lim="800000"/>
          <a:headEnd/>
          <a:tailEnd/>
        </a:ln>
      </xdr:spPr>
    </xdr:pic>
    <xdr:clientData/>
  </xdr:twoCellAnchor>
  <xdr:twoCellAnchor>
    <xdr:from>
      <xdr:col>8</xdr:col>
      <xdr:colOff>1543050</xdr:colOff>
      <xdr:row>58</xdr:row>
      <xdr:rowOff>120650</xdr:rowOff>
    </xdr:from>
    <xdr:to>
      <xdr:col>8</xdr:col>
      <xdr:colOff>1709738</xdr:colOff>
      <xdr:row>60</xdr:row>
      <xdr:rowOff>6350</xdr:rowOff>
    </xdr:to>
    <xdr:pic>
      <xdr:nvPicPr>
        <xdr:cNvPr id="7" name="Picture 6" descr="E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0450" y="8388350"/>
          <a:ext cx="166688"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1057275</xdr:colOff>
          <xdr:row>8</xdr:row>
          <xdr:rowOff>47625</xdr:rowOff>
        </xdr:from>
        <xdr:to>
          <xdr:col>10</xdr:col>
          <xdr:colOff>1095375</xdr:colOff>
          <xdr:row>8</xdr:row>
          <xdr:rowOff>228600</xdr:rowOff>
        </xdr:to>
        <xdr:sp macro="" textlink="">
          <xdr:nvSpPr>
            <xdr:cNvPr id="2" name="Drop Dow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1057275</xdr:colOff>
          <xdr:row>2</xdr:row>
          <xdr:rowOff>47625</xdr:rowOff>
        </xdr:from>
        <xdr:to>
          <xdr:col>10</xdr:col>
          <xdr:colOff>1095375</xdr:colOff>
          <xdr:row>2</xdr:row>
          <xdr:rowOff>228600</xdr:rowOff>
        </xdr:to>
        <xdr:sp macro="" textlink="">
          <xdr:nvSpPr>
            <xdr:cNvPr id="2055" name="Drop Down 7" hidden="1">
              <a:extLst>
                <a:ext uri="{63B3BB69-23CF-44E3-9099-C40C66FF867C}">
                  <a14:compatExt spid="_x0000_s20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142875</xdr:rowOff>
        </xdr:from>
        <xdr:to>
          <xdr:col>2</xdr:col>
          <xdr:colOff>209550</xdr:colOff>
          <xdr:row>20</xdr:row>
          <xdr:rowOff>133350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20</xdr:row>
          <xdr:rowOff>142875</xdr:rowOff>
        </xdr:from>
        <xdr:to>
          <xdr:col>2</xdr:col>
          <xdr:colOff>238125</xdr:colOff>
          <xdr:row>22</xdr:row>
          <xdr:rowOff>9525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209550</xdr:colOff>
          <xdr:row>19</xdr:row>
          <xdr:rowOff>133350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1</xdr:row>
          <xdr:rowOff>28575</xdr:rowOff>
        </xdr:from>
        <xdr:to>
          <xdr:col>16</xdr:col>
          <xdr:colOff>47625</xdr:colOff>
          <xdr:row>2</xdr:row>
          <xdr:rowOff>190500</xdr:rowOff>
        </xdr:to>
        <xdr:sp macro="" textlink="">
          <xdr:nvSpPr>
            <xdr:cNvPr id="2060" name="Button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Clear All Values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drawing" Target="../drawings/drawing2.xml"/><Relationship Id="rId7" Type="http://schemas.openxmlformats.org/officeDocument/2006/relationships/ctrlProp" Target="../ctrlProps/ctrlProp4.xml"/><Relationship Id="rId2" Type="http://schemas.openxmlformats.org/officeDocument/2006/relationships/printerSettings" Target="../printerSettings/printerSettings2.bin"/><Relationship Id="rId1" Type="http://schemas.openxmlformats.org/officeDocument/2006/relationships/hyperlink" Target="http://www.benefits.va.gov/HOMELOANS/documents/circulars/26_11_19.pdf" TargetMode="Externa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vmlDrawing" Target="../drawings/vmlDrawing2.v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3.xml"/><Relationship Id="rId7" Type="http://schemas.openxmlformats.org/officeDocument/2006/relationships/ctrlProp" Target="../ctrlProps/ctrlProp9.xml"/><Relationship Id="rId2" Type="http://schemas.openxmlformats.org/officeDocument/2006/relationships/printerSettings" Target="../printerSettings/printerSettings3.bin"/><Relationship Id="rId1" Type="http://schemas.openxmlformats.org/officeDocument/2006/relationships/hyperlink" Target="http://www.benefits.va.gov/HOMELOANS/documents/circulars/26_11_19.pdf" TargetMode="External"/><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3.v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249977111117893"/>
    <pageSetUpPr fitToPage="1"/>
  </sheetPr>
  <dimension ref="A1:P95"/>
  <sheetViews>
    <sheetView showGridLines="0" zoomScale="125" zoomScaleNormal="125" workbookViewId="0">
      <selection activeCell="M16" sqref="M16:P16"/>
    </sheetView>
  </sheetViews>
  <sheetFormatPr defaultRowHeight="11.25" x14ac:dyDescent="0.2"/>
  <cols>
    <col min="1" max="1" width="1.83203125" style="56" customWidth="1"/>
    <col min="2" max="2" width="12.5" style="56" hidden="1" customWidth="1"/>
    <col min="3" max="3" width="9.33203125" style="56"/>
    <col min="4" max="4" width="4.1640625" style="56" customWidth="1"/>
    <col min="5" max="5" width="8.33203125" style="56" customWidth="1"/>
    <col min="6" max="12" width="9.33203125" style="56"/>
    <col min="13" max="13" width="12.33203125" style="56" customWidth="1"/>
    <col min="14" max="14" width="5.33203125" style="56" customWidth="1"/>
    <col min="15" max="16" width="9.33203125" style="56"/>
    <col min="17" max="17" width="1.83203125" style="56" customWidth="1"/>
    <col min="18" max="16384" width="9.33203125" style="56"/>
  </cols>
  <sheetData>
    <row r="1" spans="3:16" ht="16.5" thickBot="1" x14ac:dyDescent="0.25">
      <c r="C1" s="252" t="s">
        <v>384</v>
      </c>
      <c r="D1" s="252"/>
      <c r="E1" s="252"/>
      <c r="F1" s="252"/>
      <c r="G1" s="252"/>
      <c r="H1" s="252"/>
      <c r="I1" s="252"/>
      <c r="J1" s="252"/>
      <c r="K1" s="252"/>
      <c r="L1" s="252"/>
      <c r="M1" s="252"/>
      <c r="N1" s="252"/>
      <c r="O1" s="252"/>
      <c r="P1" s="252"/>
    </row>
    <row r="2" spans="3:16" x14ac:dyDescent="0.2">
      <c r="C2" s="243" t="s">
        <v>381</v>
      </c>
      <c r="D2" s="244"/>
      <c r="E2" s="244"/>
      <c r="F2" s="244"/>
      <c r="G2" s="244"/>
      <c r="H2" s="244"/>
      <c r="I2" s="244"/>
      <c r="J2" s="244"/>
      <c r="K2" s="244"/>
      <c r="L2" s="244"/>
      <c r="M2" s="244"/>
      <c r="N2" s="244"/>
      <c r="O2" s="244"/>
      <c r="P2" s="245"/>
    </row>
    <row r="3" spans="3:16" x14ac:dyDescent="0.2">
      <c r="C3" s="246"/>
      <c r="D3" s="247"/>
      <c r="E3" s="247"/>
      <c r="F3" s="247"/>
      <c r="G3" s="247"/>
      <c r="H3" s="247"/>
      <c r="I3" s="247"/>
      <c r="J3" s="247"/>
      <c r="K3" s="247"/>
      <c r="L3" s="247"/>
      <c r="M3" s="247"/>
      <c r="N3" s="247"/>
      <c r="O3" s="247"/>
      <c r="P3" s="248"/>
    </row>
    <row r="4" spans="3:16" x14ac:dyDescent="0.2">
      <c r="C4" s="246"/>
      <c r="D4" s="247"/>
      <c r="E4" s="247"/>
      <c r="F4" s="247"/>
      <c r="G4" s="247"/>
      <c r="H4" s="247"/>
      <c r="I4" s="247"/>
      <c r="J4" s="247"/>
      <c r="K4" s="247"/>
      <c r="L4" s="247"/>
      <c r="M4" s="247"/>
      <c r="N4" s="247"/>
      <c r="O4" s="247"/>
      <c r="P4" s="248"/>
    </row>
    <row r="5" spans="3:16" x14ac:dyDescent="0.2">
      <c r="C5" s="246"/>
      <c r="D5" s="247"/>
      <c r="E5" s="247"/>
      <c r="F5" s="247"/>
      <c r="G5" s="247"/>
      <c r="H5" s="247"/>
      <c r="I5" s="247"/>
      <c r="J5" s="247"/>
      <c r="K5" s="247"/>
      <c r="L5" s="247"/>
      <c r="M5" s="247"/>
      <c r="N5" s="247"/>
      <c r="O5" s="247"/>
      <c r="P5" s="248"/>
    </row>
    <row r="6" spans="3:16" x14ac:dyDescent="0.2">
      <c r="C6" s="246"/>
      <c r="D6" s="247"/>
      <c r="E6" s="247"/>
      <c r="F6" s="247"/>
      <c r="G6" s="247"/>
      <c r="H6" s="247"/>
      <c r="I6" s="247"/>
      <c r="J6" s="247"/>
      <c r="K6" s="247"/>
      <c r="L6" s="247"/>
      <c r="M6" s="247"/>
      <c r="N6" s="247"/>
      <c r="O6" s="247"/>
      <c r="P6" s="248"/>
    </row>
    <row r="7" spans="3:16" ht="5.25" customHeight="1" x14ac:dyDescent="0.2">
      <c r="C7" s="161"/>
      <c r="D7" s="162"/>
      <c r="E7" s="162"/>
      <c r="F7" s="162"/>
      <c r="G7" s="162"/>
      <c r="H7" s="162"/>
      <c r="I7" s="162"/>
      <c r="J7" s="162"/>
      <c r="K7" s="162"/>
      <c r="L7" s="162"/>
      <c r="M7" s="162"/>
      <c r="N7" s="162"/>
      <c r="O7" s="162"/>
      <c r="P7" s="163"/>
    </row>
    <row r="8" spans="3:16" x14ac:dyDescent="0.2">
      <c r="C8" s="249" t="s">
        <v>382</v>
      </c>
      <c r="D8" s="250"/>
      <c r="E8" s="250"/>
      <c r="F8" s="250"/>
      <c r="G8" s="250"/>
      <c r="H8" s="250"/>
      <c r="I8" s="250"/>
      <c r="J8" s="250"/>
      <c r="K8" s="250"/>
      <c r="L8" s="250"/>
      <c r="M8" s="250"/>
      <c r="N8" s="250"/>
      <c r="O8" s="250"/>
      <c r="P8" s="251"/>
    </row>
    <row r="9" spans="3:16" x14ac:dyDescent="0.2">
      <c r="C9" s="249"/>
      <c r="D9" s="250"/>
      <c r="E9" s="250"/>
      <c r="F9" s="250"/>
      <c r="G9" s="250"/>
      <c r="H9" s="250"/>
      <c r="I9" s="250"/>
      <c r="J9" s="250"/>
      <c r="K9" s="250"/>
      <c r="L9" s="250"/>
      <c r="M9" s="250"/>
      <c r="N9" s="250"/>
      <c r="O9" s="250"/>
      <c r="P9" s="251"/>
    </row>
    <row r="10" spans="3:16" x14ac:dyDescent="0.2">
      <c r="C10" s="249"/>
      <c r="D10" s="250"/>
      <c r="E10" s="250"/>
      <c r="F10" s="250"/>
      <c r="G10" s="250"/>
      <c r="H10" s="250"/>
      <c r="I10" s="250"/>
      <c r="J10" s="250"/>
      <c r="K10" s="250"/>
      <c r="L10" s="250"/>
      <c r="M10" s="250"/>
      <c r="N10" s="250"/>
      <c r="O10" s="250"/>
      <c r="P10" s="251"/>
    </row>
    <row r="11" spans="3:16" x14ac:dyDescent="0.2">
      <c r="C11" s="249"/>
      <c r="D11" s="250"/>
      <c r="E11" s="250"/>
      <c r="F11" s="250"/>
      <c r="G11" s="250"/>
      <c r="H11" s="250"/>
      <c r="I11" s="250"/>
      <c r="J11" s="250"/>
      <c r="K11" s="250"/>
      <c r="L11" s="250"/>
      <c r="M11" s="250"/>
      <c r="N11" s="250"/>
      <c r="O11" s="250"/>
      <c r="P11" s="251"/>
    </row>
    <row r="12" spans="3:16" x14ac:dyDescent="0.2">
      <c r="C12" s="249"/>
      <c r="D12" s="250"/>
      <c r="E12" s="250"/>
      <c r="F12" s="250"/>
      <c r="G12" s="250"/>
      <c r="H12" s="250"/>
      <c r="I12" s="250"/>
      <c r="J12" s="250"/>
      <c r="K12" s="250"/>
      <c r="L12" s="250"/>
      <c r="M12" s="250"/>
      <c r="N12" s="250"/>
      <c r="O12" s="250"/>
      <c r="P12" s="251"/>
    </row>
    <row r="13" spans="3:16" x14ac:dyDescent="0.2">
      <c r="C13" s="249"/>
      <c r="D13" s="250"/>
      <c r="E13" s="250"/>
      <c r="F13" s="250"/>
      <c r="G13" s="250"/>
      <c r="H13" s="250"/>
      <c r="I13" s="250"/>
      <c r="J13" s="250"/>
      <c r="K13" s="250"/>
      <c r="L13" s="250"/>
      <c r="M13" s="250"/>
      <c r="N13" s="250"/>
      <c r="O13" s="250"/>
      <c r="P13" s="251"/>
    </row>
    <row r="14" spans="3:16" ht="3" customHeight="1" x14ac:dyDescent="0.2">
      <c r="C14" s="135"/>
      <c r="D14" s="136"/>
      <c r="E14" s="136"/>
      <c r="F14" s="136"/>
      <c r="G14" s="136"/>
      <c r="H14" s="136"/>
      <c r="I14" s="136"/>
      <c r="J14" s="136"/>
      <c r="K14" s="136"/>
      <c r="L14" s="136"/>
      <c r="M14" s="136"/>
      <c r="N14" s="136"/>
      <c r="O14" s="136"/>
      <c r="P14" s="137"/>
    </row>
    <row r="15" spans="3:16" ht="11.25" customHeight="1" x14ac:dyDescent="0.2">
      <c r="C15" s="253" t="s">
        <v>379</v>
      </c>
      <c r="D15" s="254"/>
      <c r="E15" s="254"/>
      <c r="F15" s="254"/>
      <c r="G15" s="254"/>
      <c r="H15" s="254"/>
      <c r="I15" s="254"/>
      <c r="J15" s="254"/>
      <c r="K15" s="254"/>
      <c r="L15" s="255"/>
      <c r="M15" s="259" t="s">
        <v>380</v>
      </c>
      <c r="N15" s="260"/>
      <c r="O15" s="260"/>
      <c r="P15" s="261"/>
    </row>
    <row r="16" spans="3:16" ht="15" customHeight="1" x14ac:dyDescent="0.2">
      <c r="C16" s="256"/>
      <c r="D16" s="257"/>
      <c r="E16" s="257"/>
      <c r="F16" s="257"/>
      <c r="G16" s="257"/>
      <c r="H16" s="257"/>
      <c r="I16" s="257"/>
      <c r="J16" s="257"/>
      <c r="K16" s="257"/>
      <c r="L16" s="258"/>
      <c r="M16" s="262"/>
      <c r="N16" s="263"/>
      <c r="O16" s="263"/>
      <c r="P16" s="264"/>
    </row>
    <row r="17" spans="1:16" x14ac:dyDescent="0.2">
      <c r="C17" s="223" t="s">
        <v>362</v>
      </c>
      <c r="D17" s="224"/>
      <c r="E17" s="224"/>
      <c r="F17" s="224"/>
      <c r="G17" s="224"/>
      <c r="H17" s="224"/>
      <c r="I17" s="224"/>
      <c r="J17" s="224"/>
      <c r="K17" s="224"/>
      <c r="L17" s="224"/>
      <c r="M17" s="224"/>
      <c r="N17" s="224"/>
      <c r="O17" s="224"/>
      <c r="P17" s="225"/>
    </row>
    <row r="18" spans="1:16" x14ac:dyDescent="0.2">
      <c r="C18" s="139" t="s">
        <v>373</v>
      </c>
      <c r="D18" s="260" t="s">
        <v>374</v>
      </c>
      <c r="E18" s="260"/>
      <c r="F18" s="260"/>
      <c r="G18" s="260"/>
      <c r="H18" s="260"/>
      <c r="I18" s="260"/>
      <c r="J18" s="260"/>
      <c r="K18" s="260"/>
      <c r="L18" s="260"/>
      <c r="M18" s="260"/>
      <c r="N18" s="260"/>
      <c r="O18" s="259" t="s">
        <v>375</v>
      </c>
      <c r="P18" s="261"/>
    </row>
    <row r="19" spans="1:16" ht="15" customHeight="1" x14ac:dyDescent="0.2">
      <c r="C19" s="140">
        <v>1</v>
      </c>
      <c r="D19" s="141" t="s">
        <v>356</v>
      </c>
      <c r="E19" s="66"/>
      <c r="F19" s="66"/>
      <c r="G19" s="66"/>
      <c r="H19" s="66"/>
      <c r="I19" s="66"/>
      <c r="J19" s="66"/>
      <c r="K19" s="66"/>
      <c r="L19" s="66"/>
      <c r="M19" s="66"/>
      <c r="N19" s="99" t="s">
        <v>18</v>
      </c>
      <c r="O19" s="265">
        <v>0</v>
      </c>
      <c r="P19" s="266"/>
    </row>
    <row r="20" spans="1:16" ht="15" customHeight="1" x14ac:dyDescent="0.2">
      <c r="C20" s="140">
        <v>2</v>
      </c>
      <c r="D20" s="142" t="s">
        <v>363</v>
      </c>
      <c r="E20" s="66"/>
      <c r="F20" s="66"/>
      <c r="G20" s="66"/>
      <c r="H20" s="66"/>
      <c r="I20" s="66"/>
      <c r="J20" s="66"/>
      <c r="K20" s="66"/>
      <c r="L20" s="66"/>
      <c r="M20" s="66"/>
      <c r="N20" s="99" t="s">
        <v>20</v>
      </c>
      <c r="O20" s="267">
        <v>0</v>
      </c>
      <c r="P20" s="268"/>
    </row>
    <row r="21" spans="1:16" ht="15" customHeight="1" x14ac:dyDescent="0.2">
      <c r="C21" s="140">
        <v>3</v>
      </c>
      <c r="D21" s="143" t="s">
        <v>357</v>
      </c>
      <c r="E21" s="66"/>
      <c r="F21" s="66"/>
      <c r="G21" s="66"/>
      <c r="H21" s="66"/>
      <c r="I21" s="66"/>
      <c r="J21" s="66"/>
      <c r="K21" s="66"/>
      <c r="L21" s="66"/>
      <c r="M21" s="66"/>
      <c r="N21" s="144" t="s">
        <v>18</v>
      </c>
      <c r="O21" s="228">
        <f>ROUNDDOWN(O19-O20,0)</f>
        <v>0</v>
      </c>
      <c r="P21" s="229"/>
    </row>
    <row r="22" spans="1:16" x14ac:dyDescent="0.2">
      <c r="C22" s="223" t="s">
        <v>364</v>
      </c>
      <c r="D22" s="224"/>
      <c r="E22" s="224"/>
      <c r="F22" s="224"/>
      <c r="G22" s="224"/>
      <c r="H22" s="224"/>
      <c r="I22" s="224"/>
      <c r="J22" s="224"/>
      <c r="K22" s="224"/>
      <c r="L22" s="224"/>
      <c r="M22" s="224"/>
      <c r="N22" s="224"/>
      <c r="O22" s="224"/>
      <c r="P22" s="225"/>
    </row>
    <row r="23" spans="1:16" ht="15" customHeight="1" x14ac:dyDescent="0.2">
      <c r="C23" s="140">
        <v>4</v>
      </c>
      <c r="D23" s="142" t="s">
        <v>358</v>
      </c>
      <c r="E23" s="66"/>
      <c r="F23" s="66"/>
      <c r="G23" s="66"/>
      <c r="H23" s="66"/>
      <c r="I23" s="66"/>
      <c r="J23" s="66"/>
      <c r="K23" s="66"/>
      <c r="L23" s="66"/>
      <c r="M23" s="66"/>
      <c r="N23" s="99" t="s">
        <v>18</v>
      </c>
      <c r="O23" s="241">
        <f>ROUNDDOWN(O21,0)</f>
        <v>0</v>
      </c>
      <c r="P23" s="242"/>
    </row>
    <row r="24" spans="1:16" ht="15" customHeight="1" x14ac:dyDescent="0.2">
      <c r="C24" s="140">
        <v>5</v>
      </c>
      <c r="D24" s="145" t="s">
        <v>359</v>
      </c>
      <c r="E24" s="186"/>
      <c r="F24" s="142" t="s">
        <v>365</v>
      </c>
      <c r="G24" s="66"/>
      <c r="H24" s="66"/>
      <c r="I24" s="66"/>
      <c r="J24" s="66"/>
      <c r="K24" s="66"/>
      <c r="L24" s="66"/>
      <c r="M24" s="66"/>
      <c r="N24" s="99" t="s">
        <v>360</v>
      </c>
      <c r="O24" s="226">
        <f>ROUNDDOWN(O$23*(E24/100),0)</f>
        <v>0</v>
      </c>
      <c r="P24" s="227"/>
    </row>
    <row r="25" spans="1:16" ht="15" customHeight="1" x14ac:dyDescent="0.2">
      <c r="C25" s="140">
        <v>6</v>
      </c>
      <c r="D25" s="145" t="s">
        <v>359</v>
      </c>
      <c r="E25" s="186"/>
      <c r="F25" s="142" t="s">
        <v>454</v>
      </c>
      <c r="G25" s="66"/>
      <c r="H25" s="66"/>
      <c r="I25" s="66"/>
      <c r="J25" s="66"/>
      <c r="K25" s="66"/>
      <c r="L25" s="66"/>
      <c r="M25" s="66"/>
      <c r="N25" s="99" t="s">
        <v>360</v>
      </c>
      <c r="O25" s="226">
        <f>ROUNDDOWN(O$23*(E25/100),0)</f>
        <v>0</v>
      </c>
      <c r="P25" s="227"/>
    </row>
    <row r="26" spans="1:16" ht="15" customHeight="1" x14ac:dyDescent="0.2">
      <c r="C26" s="140">
        <v>7</v>
      </c>
      <c r="D26" s="145" t="s">
        <v>359</v>
      </c>
      <c r="E26" s="186"/>
      <c r="F26" s="142" t="s">
        <v>455</v>
      </c>
      <c r="G26" s="66"/>
      <c r="H26" s="66"/>
      <c r="I26" s="66"/>
      <c r="J26" s="66"/>
      <c r="K26" s="66"/>
      <c r="L26" s="66"/>
      <c r="M26" s="66"/>
      <c r="N26" s="99" t="s">
        <v>360</v>
      </c>
      <c r="O26" s="226">
        <f>ROUNDDOWN(O$23*(E26/100),0)</f>
        <v>0</v>
      </c>
      <c r="P26" s="227"/>
    </row>
    <row r="27" spans="1:16" ht="15" customHeight="1" x14ac:dyDescent="0.2">
      <c r="C27" s="140">
        <v>8</v>
      </c>
      <c r="D27" s="145" t="s">
        <v>361</v>
      </c>
      <c r="E27" s="66"/>
      <c r="F27" s="66"/>
      <c r="G27" s="66"/>
      <c r="H27" s="66"/>
      <c r="I27" s="66"/>
      <c r="J27" s="66"/>
      <c r="K27" s="66"/>
      <c r="L27" s="66"/>
      <c r="M27" s="66"/>
      <c r="N27" s="99" t="s">
        <v>360</v>
      </c>
      <c r="O27" s="267">
        <v>0</v>
      </c>
      <c r="P27" s="268"/>
    </row>
    <row r="28" spans="1:16" ht="15" customHeight="1" x14ac:dyDescent="0.2">
      <c r="C28" s="140">
        <v>9</v>
      </c>
      <c r="D28" s="143" t="s">
        <v>357</v>
      </c>
      <c r="E28" s="66"/>
      <c r="F28" s="66"/>
      <c r="G28" s="66"/>
      <c r="H28" s="66"/>
      <c r="I28" s="66"/>
      <c r="J28" s="66"/>
      <c r="K28" s="66"/>
      <c r="L28" s="66"/>
      <c r="M28" s="66"/>
      <c r="N28" s="144" t="s">
        <v>18</v>
      </c>
      <c r="O28" s="228">
        <f>ROUNDDOWN(SUM(O23:P27),0)</f>
        <v>0</v>
      </c>
      <c r="P28" s="229"/>
    </row>
    <row r="29" spans="1:16" x14ac:dyDescent="0.2">
      <c r="A29" s="90"/>
      <c r="C29" s="223" t="s">
        <v>366</v>
      </c>
      <c r="D29" s="224"/>
      <c r="E29" s="224"/>
      <c r="F29" s="224"/>
      <c r="G29" s="224"/>
      <c r="H29" s="224"/>
      <c r="I29" s="224"/>
      <c r="J29" s="224"/>
      <c r="K29" s="224"/>
      <c r="L29" s="224"/>
      <c r="M29" s="224"/>
      <c r="N29" s="224"/>
      <c r="O29" s="224"/>
      <c r="P29" s="225"/>
    </row>
    <row r="30" spans="1:16" ht="15" customHeight="1" x14ac:dyDescent="0.2">
      <c r="A30" s="90"/>
      <c r="C30" s="146">
        <v>10</v>
      </c>
      <c r="D30" s="147" t="s">
        <v>367</v>
      </c>
      <c r="E30" s="138"/>
      <c r="F30" s="148"/>
      <c r="G30" s="138"/>
      <c r="H30" s="138"/>
      <c r="I30" s="138"/>
      <c r="J30" s="138"/>
      <c r="K30" s="138"/>
      <c r="L30" s="138"/>
      <c r="M30" s="138"/>
      <c r="N30" s="99" t="s">
        <v>18</v>
      </c>
      <c r="O30" s="241">
        <f>O28</f>
        <v>0</v>
      </c>
      <c r="P30" s="242"/>
    </row>
    <row r="31" spans="1:16" ht="15" customHeight="1" x14ac:dyDescent="0.2">
      <c r="A31" s="90"/>
      <c r="C31" s="149">
        <v>11</v>
      </c>
      <c r="D31" s="145" t="s">
        <v>359</v>
      </c>
      <c r="E31" s="185">
        <f>E24</f>
        <v>0</v>
      </c>
      <c r="F31" s="142" t="s">
        <v>461</v>
      </c>
      <c r="G31" s="66"/>
      <c r="H31" s="66"/>
      <c r="I31" s="66"/>
      <c r="J31" s="66"/>
      <c r="K31" s="66"/>
      <c r="L31" s="66"/>
      <c r="M31" s="66"/>
      <c r="N31" s="99" t="s">
        <v>360</v>
      </c>
      <c r="O31" s="226">
        <f>ROUNDDOWN(O$30*(E31/100),0)</f>
        <v>0</v>
      </c>
      <c r="P31" s="227"/>
    </row>
    <row r="32" spans="1:16" ht="15" customHeight="1" x14ac:dyDescent="0.2">
      <c r="A32" s="90"/>
      <c r="C32" s="149">
        <v>12</v>
      </c>
      <c r="D32" s="150" t="s">
        <v>368</v>
      </c>
      <c r="E32" s="66"/>
      <c r="F32" s="151"/>
      <c r="G32" s="66"/>
      <c r="H32" s="66"/>
      <c r="I32" s="66"/>
      <c r="J32" s="66"/>
      <c r="K32" s="66"/>
      <c r="L32" s="66"/>
      <c r="M32" s="66"/>
      <c r="N32" s="99" t="s">
        <v>19</v>
      </c>
      <c r="O32" s="241">
        <f>ROUNDDOWN(O30+O31,0)</f>
        <v>0</v>
      </c>
      <c r="P32" s="242"/>
    </row>
    <row r="33" spans="1:16" ht="15" customHeight="1" x14ac:dyDescent="0.2">
      <c r="A33" s="90"/>
      <c r="C33" s="149">
        <v>13</v>
      </c>
      <c r="D33" s="145" t="s">
        <v>369</v>
      </c>
      <c r="E33" s="66"/>
      <c r="F33" s="151"/>
      <c r="G33" s="66"/>
      <c r="H33" s="66"/>
      <c r="I33" s="66"/>
      <c r="J33" s="66"/>
      <c r="K33" s="66"/>
      <c r="L33" s="66"/>
      <c r="M33" s="66"/>
      <c r="N33" s="152" t="s">
        <v>20</v>
      </c>
      <c r="O33" s="241">
        <f>ROUNDDOWN(O24,0)</f>
        <v>0</v>
      </c>
      <c r="P33" s="242"/>
    </row>
    <row r="34" spans="1:16" ht="15" customHeight="1" x14ac:dyDescent="0.2">
      <c r="C34" s="149">
        <v>14</v>
      </c>
      <c r="D34" s="150" t="s">
        <v>368</v>
      </c>
      <c r="E34" s="66"/>
      <c r="F34" s="151"/>
      <c r="G34" s="66"/>
      <c r="H34" s="66"/>
      <c r="I34" s="66"/>
      <c r="J34" s="66"/>
      <c r="K34" s="66"/>
      <c r="L34" s="66"/>
      <c r="M34" s="66"/>
      <c r="N34" s="99" t="s">
        <v>19</v>
      </c>
      <c r="O34" s="241">
        <f>ROUNDDOWN(O32-O33,0)</f>
        <v>0</v>
      </c>
      <c r="P34" s="242"/>
    </row>
    <row r="35" spans="1:16" ht="15" customHeight="1" x14ac:dyDescent="0.2">
      <c r="A35" s="90"/>
      <c r="C35" s="149">
        <v>15</v>
      </c>
      <c r="D35" s="145" t="s">
        <v>370</v>
      </c>
      <c r="E35" s="66"/>
      <c r="F35" s="151"/>
      <c r="G35" s="66"/>
      <c r="H35" s="66"/>
      <c r="I35" s="66"/>
      <c r="J35" s="66"/>
      <c r="K35" s="66"/>
      <c r="L35" s="66"/>
      <c r="M35" s="66"/>
      <c r="N35" s="152" t="s">
        <v>20</v>
      </c>
      <c r="O35" s="241">
        <f>ROUNDDOWN(O26,0)</f>
        <v>0</v>
      </c>
      <c r="P35" s="242"/>
    </row>
    <row r="36" spans="1:16" ht="15" customHeight="1" x14ac:dyDescent="0.2">
      <c r="A36" s="90"/>
      <c r="C36" s="149">
        <v>16</v>
      </c>
      <c r="D36" s="150" t="s">
        <v>368</v>
      </c>
      <c r="E36" s="66"/>
      <c r="F36" s="151"/>
      <c r="G36" s="66"/>
      <c r="H36" s="66"/>
      <c r="I36" s="66"/>
      <c r="J36" s="66"/>
      <c r="K36" s="66"/>
      <c r="L36" s="66"/>
      <c r="M36" s="66"/>
      <c r="N36" s="99" t="s">
        <v>19</v>
      </c>
      <c r="O36" s="241">
        <f>ROUNDDOWN(O34-O35,0)</f>
        <v>0</v>
      </c>
      <c r="P36" s="242"/>
    </row>
    <row r="37" spans="1:16" ht="15" customHeight="1" x14ac:dyDescent="0.2">
      <c r="A37" s="90"/>
      <c r="C37" s="149">
        <v>17</v>
      </c>
      <c r="D37" s="145" t="s">
        <v>359</v>
      </c>
      <c r="E37" s="185">
        <f>E26</f>
        <v>0</v>
      </c>
      <c r="F37" s="142" t="s">
        <v>460</v>
      </c>
      <c r="G37" s="66"/>
      <c r="H37" s="66"/>
      <c r="I37" s="66"/>
      <c r="J37" s="66"/>
      <c r="K37" s="66"/>
      <c r="L37" s="66"/>
      <c r="M37" s="66"/>
      <c r="N37" s="99" t="s">
        <v>360</v>
      </c>
      <c r="O37" s="226">
        <f>ROUNDDOWN(O$36*(E37/100),0)</f>
        <v>0</v>
      </c>
      <c r="P37" s="227"/>
    </row>
    <row r="38" spans="1:16" ht="15" customHeight="1" x14ac:dyDescent="0.2">
      <c r="A38" s="90"/>
      <c r="C38" s="153">
        <v>18</v>
      </c>
      <c r="D38" s="154" t="s">
        <v>371</v>
      </c>
      <c r="E38" s="155"/>
      <c r="F38" s="156"/>
      <c r="G38" s="155"/>
      <c r="H38" s="155"/>
      <c r="I38" s="155"/>
      <c r="J38" s="155"/>
      <c r="K38" s="155"/>
      <c r="L38" s="155"/>
      <c r="M38" s="155"/>
      <c r="N38" s="157" t="s">
        <v>372</v>
      </c>
      <c r="O38" s="228">
        <f>ROUNDDOWN(O36+O37,0)</f>
        <v>0</v>
      </c>
      <c r="P38" s="229"/>
    </row>
    <row r="39" spans="1:16" ht="18.75" customHeight="1" x14ac:dyDescent="0.2">
      <c r="A39" s="90"/>
      <c r="B39" s="158"/>
      <c r="C39" s="230" t="s">
        <v>389</v>
      </c>
      <c r="D39" s="231"/>
      <c r="E39" s="231"/>
      <c r="F39" s="231"/>
      <c r="G39" s="231"/>
      <c r="H39" s="231"/>
      <c r="I39" s="231"/>
      <c r="J39" s="231"/>
      <c r="K39" s="231"/>
      <c r="L39" s="231"/>
      <c r="M39" s="231"/>
      <c r="N39" s="231"/>
      <c r="O39" s="231"/>
      <c r="P39" s="232"/>
    </row>
    <row r="40" spans="1:16" ht="15" customHeight="1" x14ac:dyDescent="0.2">
      <c r="C40" s="233"/>
      <c r="D40" s="234"/>
      <c r="E40" s="234"/>
      <c r="F40" s="234"/>
      <c r="G40" s="234"/>
      <c r="H40" s="234"/>
      <c r="I40" s="234"/>
      <c r="J40" s="234"/>
      <c r="K40" s="234"/>
      <c r="L40" s="234"/>
      <c r="M40" s="234"/>
      <c r="N40" s="234"/>
      <c r="O40" s="234"/>
      <c r="P40" s="235"/>
    </row>
    <row r="41" spans="1:16" ht="15" customHeight="1" thickBot="1" x14ac:dyDescent="0.25">
      <c r="C41" s="215" t="str">
        <f>IF(AND(O19&gt;0,OR(M16="",M16="NULL",M16=0)),"ERROR: Please Fill VA Loan Number Above","")</f>
        <v/>
      </c>
      <c r="D41" s="216"/>
      <c r="E41" s="216"/>
      <c r="F41" s="216"/>
      <c r="G41" s="216"/>
      <c r="H41" s="216"/>
      <c r="I41" s="216"/>
      <c r="J41" s="216"/>
      <c r="K41" s="216"/>
      <c r="L41" s="216"/>
      <c r="M41" s="216"/>
      <c r="N41" s="216"/>
      <c r="O41" s="216"/>
      <c r="P41" s="217"/>
    </row>
    <row r="42" spans="1:16" x14ac:dyDescent="0.2">
      <c r="C42" s="214" t="s">
        <v>377</v>
      </c>
      <c r="D42" s="213"/>
      <c r="E42" s="205" t="s">
        <v>376</v>
      </c>
      <c r="F42" s="206"/>
      <c r="G42" s="206"/>
      <c r="H42" s="206"/>
      <c r="I42" s="213"/>
      <c r="J42" s="205" t="s">
        <v>459</v>
      </c>
      <c r="K42" s="208"/>
      <c r="L42" s="205" t="s">
        <v>378</v>
      </c>
      <c r="M42" s="206"/>
      <c r="N42" s="206"/>
      <c r="O42" s="206"/>
      <c r="P42" s="207"/>
    </row>
    <row r="43" spans="1:16" ht="12" thickBot="1" x14ac:dyDescent="0.25">
      <c r="C43" s="236"/>
      <c r="D43" s="237"/>
      <c r="E43" s="211"/>
      <c r="F43" s="209"/>
      <c r="G43" s="209"/>
      <c r="H43" s="209"/>
      <c r="I43" s="212"/>
      <c r="J43" s="209"/>
      <c r="K43" s="210"/>
      <c r="L43" s="238"/>
      <c r="M43" s="239"/>
      <c r="N43" s="239"/>
      <c r="O43" s="239"/>
      <c r="P43" s="240"/>
    </row>
    <row r="44" spans="1:16" x14ac:dyDescent="0.2">
      <c r="C44" s="90" t="s">
        <v>385</v>
      </c>
      <c r="E44" s="218" t="s">
        <v>387</v>
      </c>
      <c r="F44" s="218"/>
      <c r="G44" s="220" t="s">
        <v>388</v>
      </c>
      <c r="H44" s="221"/>
      <c r="I44" s="221"/>
      <c r="J44" s="221"/>
      <c r="K44" s="221"/>
      <c r="L44" s="221"/>
    </row>
    <row r="45" spans="1:16" x14ac:dyDescent="0.2">
      <c r="C45" s="159" t="s">
        <v>386</v>
      </c>
      <c r="E45" s="219"/>
      <c r="F45" s="219"/>
      <c r="G45" s="222"/>
      <c r="H45" s="222"/>
      <c r="I45" s="222"/>
      <c r="J45" s="222"/>
      <c r="K45" s="222"/>
      <c r="L45" s="222"/>
    </row>
    <row r="46" spans="1:16" x14ac:dyDescent="0.2">
      <c r="G46" s="160"/>
      <c r="H46" s="160"/>
      <c r="I46" s="160"/>
      <c r="J46" s="160"/>
      <c r="K46" s="160"/>
      <c r="L46" s="160"/>
    </row>
    <row r="48" spans="1:16" s="68" customFormat="1" x14ac:dyDescent="0.2">
      <c r="A48" s="56"/>
      <c r="B48" s="56"/>
    </row>
    <row r="49" spans="1:2" s="68" customFormat="1" x14ac:dyDescent="0.2">
      <c r="A49" s="56"/>
      <c r="B49" s="56"/>
    </row>
    <row r="50" spans="1:2" s="68" customFormat="1" x14ac:dyDescent="0.2">
      <c r="A50" s="56"/>
      <c r="B50" s="56"/>
    </row>
    <row r="51" spans="1:2" s="68" customFormat="1" x14ac:dyDescent="0.2">
      <c r="A51" s="56"/>
      <c r="B51" s="56"/>
    </row>
    <row r="52" spans="1:2" s="68" customFormat="1" x14ac:dyDescent="0.2">
      <c r="A52" s="56"/>
      <c r="B52" s="56"/>
    </row>
    <row r="53" spans="1:2" s="68" customFormat="1" x14ac:dyDescent="0.2">
      <c r="A53" s="56"/>
      <c r="B53" s="56"/>
    </row>
    <row r="54" spans="1:2" s="68" customFormat="1" x14ac:dyDescent="0.2">
      <c r="A54" s="56"/>
      <c r="B54" s="56"/>
    </row>
    <row r="55" spans="1:2" s="68" customFormat="1" x14ac:dyDescent="0.2">
      <c r="A55" s="56"/>
      <c r="B55" s="56"/>
    </row>
    <row r="57" spans="1:2" s="68" customFormat="1" x14ac:dyDescent="0.2">
      <c r="A57" s="56"/>
      <c r="B57" s="56"/>
    </row>
    <row r="58" spans="1:2" s="68" customFormat="1" x14ac:dyDescent="0.2">
      <c r="A58" s="56"/>
      <c r="B58" s="56"/>
    </row>
    <row r="59" spans="1:2" s="68" customFormat="1" x14ac:dyDescent="0.2">
      <c r="A59" s="56"/>
      <c r="B59" s="56"/>
    </row>
    <row r="60" spans="1:2" s="68" customFormat="1" x14ac:dyDescent="0.2">
      <c r="A60" s="56"/>
      <c r="B60" s="56"/>
    </row>
    <row r="61" spans="1:2" s="68" customFormat="1" x14ac:dyDescent="0.2">
      <c r="A61" s="56"/>
      <c r="B61" s="56"/>
    </row>
    <row r="62" spans="1:2" s="68" customFormat="1" x14ac:dyDescent="0.2">
      <c r="A62" s="56"/>
      <c r="B62" s="56"/>
    </row>
    <row r="63" spans="1:2" s="68" customFormat="1" x14ac:dyDescent="0.2">
      <c r="A63" s="56"/>
      <c r="B63" s="56"/>
    </row>
    <row r="64" spans="1:2" s="68" customFormat="1" x14ac:dyDescent="0.2">
      <c r="A64" s="56"/>
      <c r="B64" s="56"/>
    </row>
    <row r="65" spans="1:2" s="68" customFormat="1" x14ac:dyDescent="0.2">
      <c r="A65" s="56"/>
      <c r="B65" s="56"/>
    </row>
    <row r="66" spans="1:2" s="68" customFormat="1" x14ac:dyDescent="0.2">
      <c r="A66" s="56"/>
      <c r="B66" s="56"/>
    </row>
    <row r="67" spans="1:2" s="68" customFormat="1" x14ac:dyDescent="0.2">
      <c r="A67" s="56"/>
      <c r="B67" s="56"/>
    </row>
    <row r="68" spans="1:2" s="68" customFormat="1" x14ac:dyDescent="0.2">
      <c r="A68" s="56"/>
      <c r="B68" s="56"/>
    </row>
    <row r="69" spans="1:2" s="68" customFormat="1" x14ac:dyDescent="0.2">
      <c r="A69" s="56"/>
      <c r="B69" s="56"/>
    </row>
    <row r="70" spans="1:2" s="68" customFormat="1" x14ac:dyDescent="0.2">
      <c r="A70" s="56"/>
      <c r="B70" s="56"/>
    </row>
    <row r="71" spans="1:2" s="68" customFormat="1" x14ac:dyDescent="0.2">
      <c r="A71" s="56"/>
      <c r="B71" s="56"/>
    </row>
    <row r="72" spans="1:2" s="68" customFormat="1" x14ac:dyDescent="0.2">
      <c r="A72" s="56"/>
      <c r="B72" s="56"/>
    </row>
    <row r="73" spans="1:2" s="68" customFormat="1" x14ac:dyDescent="0.2">
      <c r="A73" s="56"/>
      <c r="B73" s="56"/>
    </row>
    <row r="74" spans="1:2" s="68" customFormat="1" x14ac:dyDescent="0.2">
      <c r="A74" s="56"/>
      <c r="B74" s="56"/>
    </row>
    <row r="75" spans="1:2" s="68" customFormat="1" x14ac:dyDescent="0.2">
      <c r="A75" s="56"/>
      <c r="B75" s="56"/>
    </row>
    <row r="76" spans="1:2" s="68" customFormat="1" x14ac:dyDescent="0.2">
      <c r="A76" s="56"/>
      <c r="B76" s="56"/>
    </row>
    <row r="77" spans="1:2" s="68" customFormat="1" x14ac:dyDescent="0.2">
      <c r="A77" s="56"/>
      <c r="B77" s="56"/>
    </row>
    <row r="78" spans="1:2" s="68" customFormat="1" x14ac:dyDescent="0.2">
      <c r="A78" s="56"/>
      <c r="B78" s="56"/>
    </row>
    <row r="80" spans="1:2" s="68" customFormat="1" ht="11.25" customHeight="1" x14ac:dyDescent="0.2">
      <c r="A80" s="56"/>
      <c r="B80" s="56"/>
    </row>
    <row r="81" spans="1:2" s="68" customFormat="1" x14ac:dyDescent="0.2">
      <c r="A81" s="56"/>
      <c r="B81" s="56"/>
    </row>
    <row r="82" spans="1:2" s="68" customFormat="1" x14ac:dyDescent="0.2">
      <c r="A82" s="56"/>
      <c r="B82" s="56"/>
    </row>
    <row r="83" spans="1:2" s="68" customFormat="1" x14ac:dyDescent="0.2">
      <c r="A83" s="56"/>
      <c r="B83" s="56"/>
    </row>
    <row r="84" spans="1:2" s="68" customFormat="1" x14ac:dyDescent="0.2">
      <c r="A84" s="56"/>
      <c r="B84" s="56"/>
    </row>
    <row r="85" spans="1:2" s="68" customFormat="1" x14ac:dyDescent="0.2">
      <c r="A85" s="56"/>
      <c r="B85" s="56"/>
    </row>
    <row r="86" spans="1:2" s="68" customFormat="1" x14ac:dyDescent="0.2">
      <c r="A86" s="56"/>
      <c r="B86" s="56"/>
    </row>
    <row r="87" spans="1:2" s="68" customFormat="1" ht="1.5" customHeight="1" x14ac:dyDescent="0.2">
      <c r="A87" s="56"/>
      <c r="B87" s="56"/>
    </row>
    <row r="88" spans="1:2" s="68" customFormat="1" ht="10.5" hidden="1" customHeight="1" x14ac:dyDescent="0.2">
      <c r="A88" s="56"/>
      <c r="B88" s="56"/>
    </row>
    <row r="89" spans="1:2" s="68" customFormat="1" ht="11.25" hidden="1" customHeight="1" x14ac:dyDescent="0.2">
      <c r="A89" s="56"/>
      <c r="B89" s="56"/>
    </row>
    <row r="90" spans="1:2" s="68" customFormat="1" ht="11.25" hidden="1" customHeight="1" x14ac:dyDescent="0.2">
      <c r="A90" s="56"/>
      <c r="B90" s="56"/>
    </row>
    <row r="95" spans="1:2" s="68" customFormat="1" x14ac:dyDescent="0.2">
      <c r="A95" s="56"/>
      <c r="B95" s="56"/>
    </row>
  </sheetData>
  <sheetProtection password="D045" sheet="1" objects="1" scenarios="1" selectLockedCells="1"/>
  <mergeCells count="41">
    <mergeCell ref="O36:P36"/>
    <mergeCell ref="O18:P18"/>
    <mergeCell ref="D18:N18"/>
    <mergeCell ref="O23:P23"/>
    <mergeCell ref="O24:P24"/>
    <mergeCell ref="O25:P25"/>
    <mergeCell ref="O26:P26"/>
    <mergeCell ref="O19:P19"/>
    <mergeCell ref="O20:P20"/>
    <mergeCell ref="O21:P21"/>
    <mergeCell ref="O27:P27"/>
    <mergeCell ref="O28:P28"/>
    <mergeCell ref="O30:P30"/>
    <mergeCell ref="O35:P35"/>
    <mergeCell ref="C2:P6"/>
    <mergeCell ref="C8:P13"/>
    <mergeCell ref="C1:P1"/>
    <mergeCell ref="C15:L16"/>
    <mergeCell ref="M15:P15"/>
    <mergeCell ref="M16:P16"/>
    <mergeCell ref="C42:D42"/>
    <mergeCell ref="C41:P41"/>
    <mergeCell ref="E44:F45"/>
    <mergeCell ref="G44:L45"/>
    <mergeCell ref="C17:P17"/>
    <mergeCell ref="C22:P22"/>
    <mergeCell ref="C29:P29"/>
    <mergeCell ref="O37:P37"/>
    <mergeCell ref="O38:P38"/>
    <mergeCell ref="C39:P40"/>
    <mergeCell ref="C43:D43"/>
    <mergeCell ref="L43:P43"/>
    <mergeCell ref="O31:P31"/>
    <mergeCell ref="O32:P32"/>
    <mergeCell ref="O33:P33"/>
    <mergeCell ref="O34:P34"/>
    <mergeCell ref="L42:P42"/>
    <mergeCell ref="J42:K42"/>
    <mergeCell ref="J43:K43"/>
    <mergeCell ref="E43:I43"/>
    <mergeCell ref="E42:I42"/>
  </mergeCells>
  <conditionalFormatting sqref="M15">
    <cfRule type="expression" dxfId="3" priority="1">
      <formula>AND(O19&gt;0,OR(M16="",M16="NULL",M16=0))</formula>
    </cfRule>
  </conditionalFormatting>
  <dataValidations count="2">
    <dataValidation type="decimal" operator="greaterThanOrEqual" allowBlank="1" showInputMessage="1" showErrorMessage="1" errorTitle="Invalid Input" error="Please Enter A Positive Value" sqref="O19:P20 O27:P27 E31 E37 E25:E26">
      <formula1>0</formula1>
    </dataValidation>
    <dataValidation type="decimal" errorStyle="warning" allowBlank="1" showInputMessage="1" showErrorMessage="1" errorTitle="Invalid Input" error="You are receiving this error because either:_x000a__x000a_1 - You entered a negative value. Click 'No' and re-enter._x000a__x000a_2 - You have entered a value exceeding the maximum allowable 2% discount. Click 'Yes' to accept or 'No' to re-enter." sqref="E24">
      <formula1>0</formula1>
      <formula2>2</formula2>
    </dataValidation>
  </dataValidations>
  <pageMargins left="0.75" right="0.75" top="1" bottom="1" header="0.5" footer="0.5"/>
  <pageSetup scale="87" orientation="portrait" horizontalDpi="300" verticalDpi="300" r:id="rId1"/>
  <headerFooter alignWithMargins="0"/>
  <ignoredErrors>
    <ignoredError sqref="O34:O35" formula="1"/>
    <ignoredError sqref="E37 E3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ClearIRRRL" altText="Clear All Values">
                <anchor moveWithCells="1" sizeWithCells="1">
                  <from>
                    <xdr:col>17</xdr:col>
                    <xdr:colOff>66675</xdr:colOff>
                    <xdr:row>1</xdr:row>
                    <xdr:rowOff>0</xdr:rowOff>
                  </from>
                  <to>
                    <xdr:col>20</xdr:col>
                    <xdr:colOff>57150</xdr:colOff>
                    <xdr:row>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P82"/>
  <sheetViews>
    <sheetView showGridLines="0" tabSelected="1" zoomScale="125" zoomScaleNormal="125" workbookViewId="0">
      <selection activeCell="K3" sqref="K3"/>
    </sheetView>
  </sheetViews>
  <sheetFormatPr defaultRowHeight="11.25" x14ac:dyDescent="0.2"/>
  <cols>
    <col min="1" max="1" width="1.83203125" customWidth="1"/>
    <col min="2" max="2" width="2.5" style="113" bestFit="1" customWidth="1"/>
    <col min="3" max="3" width="14.1640625" style="56" customWidth="1"/>
    <col min="4" max="4" width="5.83203125" style="56" customWidth="1"/>
    <col min="5" max="5" width="6.6640625" style="56" customWidth="1"/>
    <col min="6" max="6" width="3.33203125" style="56" customWidth="1"/>
    <col min="7" max="7" width="11.83203125" style="56" customWidth="1"/>
    <col min="8" max="8" width="12.33203125" style="56" customWidth="1"/>
    <col min="9" max="9" width="32.83203125" style="56" customWidth="1"/>
    <col min="10" max="10" width="6.5" style="114" bestFit="1" customWidth="1"/>
    <col min="11" max="11" width="19.6640625" style="56" customWidth="1"/>
    <col min="12" max="12" width="8.33203125" style="68" bestFit="1" customWidth="1"/>
    <col min="13" max="13" width="1.83203125" style="56" customWidth="1"/>
    <col min="14" max="14" width="7.33203125" style="56" bestFit="1" customWidth="1"/>
    <col min="16" max="16" width="12.5" hidden="1" customWidth="1"/>
  </cols>
  <sheetData>
    <row r="1" spans="1:16" ht="15.75" x14ac:dyDescent="0.2">
      <c r="B1" s="276" t="s">
        <v>383</v>
      </c>
      <c r="C1" s="276"/>
      <c r="D1" s="276"/>
      <c r="E1" s="276"/>
      <c r="F1" s="276"/>
      <c r="G1" s="276"/>
      <c r="H1" s="276"/>
      <c r="I1" s="276"/>
      <c r="J1" s="276"/>
      <c r="K1" s="276"/>
      <c r="L1" s="64"/>
    </row>
    <row r="2" spans="1:16" ht="12.75" x14ac:dyDescent="0.2">
      <c r="B2" s="269" t="s">
        <v>10</v>
      </c>
      <c r="C2" s="270"/>
      <c r="D2" s="270"/>
      <c r="E2" s="270"/>
      <c r="F2" s="270"/>
      <c r="G2" s="270"/>
      <c r="H2" s="270"/>
      <c r="I2" s="270"/>
      <c r="J2" s="270"/>
      <c r="K2" s="275"/>
      <c r="L2" s="65"/>
      <c r="M2" s="66"/>
    </row>
    <row r="3" spans="1:16" x14ac:dyDescent="0.2">
      <c r="B3" s="76" t="s">
        <v>21</v>
      </c>
      <c r="C3" s="77" t="s">
        <v>0</v>
      </c>
      <c r="D3" s="66"/>
      <c r="E3" s="66"/>
      <c r="F3" s="66"/>
      <c r="G3" s="66"/>
      <c r="H3" s="66"/>
      <c r="I3" s="66"/>
      <c r="J3" s="78" t="s">
        <v>18</v>
      </c>
      <c r="K3" s="79"/>
      <c r="L3" s="203"/>
      <c r="M3" s="66"/>
    </row>
    <row r="4" spans="1:16" x14ac:dyDescent="0.2">
      <c r="B4" s="76" t="s">
        <v>22</v>
      </c>
      <c r="C4" s="77" t="s">
        <v>1</v>
      </c>
      <c r="D4" s="66"/>
      <c r="E4" s="66"/>
      <c r="F4" s="66"/>
      <c r="G4" s="66"/>
      <c r="H4" s="66"/>
      <c r="I4" s="66"/>
      <c r="J4" s="78" t="s">
        <v>18</v>
      </c>
      <c r="K4" s="134"/>
      <c r="L4" s="67"/>
      <c r="M4" s="66"/>
    </row>
    <row r="5" spans="1:16" x14ac:dyDescent="0.2">
      <c r="B5" s="76" t="s">
        <v>23</v>
      </c>
      <c r="C5" s="81" t="s">
        <v>17</v>
      </c>
      <c r="D5" s="82"/>
      <c r="E5" s="66"/>
      <c r="F5" s="66"/>
      <c r="G5" s="66"/>
      <c r="H5" s="66"/>
      <c r="I5" s="66"/>
      <c r="J5" s="83" t="s">
        <v>19</v>
      </c>
      <c r="K5" s="84">
        <f>MIN(K3,K4)</f>
        <v>0</v>
      </c>
      <c r="L5" s="67"/>
      <c r="M5" s="66"/>
    </row>
    <row r="6" spans="1:16" x14ac:dyDescent="0.2">
      <c r="B6" s="76" t="s">
        <v>24</v>
      </c>
      <c r="C6" s="164" t="s">
        <v>445</v>
      </c>
      <c r="D6" s="66"/>
      <c r="E6" s="66"/>
      <c r="F6" s="66"/>
      <c r="G6" s="66"/>
      <c r="H6" s="66"/>
      <c r="I6" s="66"/>
      <c r="J6" s="85" t="s">
        <v>3</v>
      </c>
      <c r="K6" s="50">
        <f>K5*0.25</f>
        <v>0</v>
      </c>
      <c r="L6" s="67"/>
      <c r="M6" s="66"/>
    </row>
    <row r="7" spans="1:16" ht="12.75" x14ac:dyDescent="0.2">
      <c r="B7" s="279" t="s">
        <v>11</v>
      </c>
      <c r="C7" s="280"/>
      <c r="D7" s="280"/>
      <c r="E7" s="280"/>
      <c r="F7" s="280"/>
      <c r="G7" s="280"/>
      <c r="H7" s="280"/>
      <c r="I7" s="280"/>
      <c r="J7" s="280"/>
      <c r="K7" s="281"/>
      <c r="L7" s="67"/>
      <c r="M7" s="66"/>
    </row>
    <row r="8" spans="1:16" x14ac:dyDescent="0.2">
      <c r="B8" s="76" t="s">
        <v>25</v>
      </c>
      <c r="C8" s="77" t="s">
        <v>12</v>
      </c>
      <c r="D8" s="66"/>
      <c r="E8" s="66"/>
      <c r="F8" s="66"/>
      <c r="G8" s="66"/>
      <c r="H8" s="66"/>
      <c r="I8" s="86"/>
      <c r="J8" s="78" t="s">
        <v>18</v>
      </c>
      <c r="K8" s="50">
        <f>IF(ISERROR(VLOOKUP($P$8,'County Loan Limits'!$G$5:$J$234,3,FALSE)),417000,VLOOKUP($P$8,'County Loan Limits'!$G$5:$J$234,3,FALSE))</f>
        <v>417000</v>
      </c>
      <c r="L8" s="67"/>
      <c r="M8" s="66"/>
      <c r="P8" s="44">
        <v>1</v>
      </c>
    </row>
    <row r="9" spans="1:16" ht="21" customHeight="1" x14ac:dyDescent="0.2">
      <c r="B9" s="76"/>
      <c r="C9" s="176"/>
      <c r="D9" s="180" t="s">
        <v>451</v>
      </c>
      <c r="E9" s="66"/>
      <c r="F9" s="66"/>
      <c r="G9" s="66"/>
      <c r="I9" s="86"/>
      <c r="J9" s="56"/>
      <c r="K9" s="177"/>
      <c r="L9" s="67"/>
      <c r="M9" s="66"/>
    </row>
    <row r="10" spans="1:16" x14ac:dyDescent="0.2">
      <c r="B10" s="76" t="s">
        <v>26</v>
      </c>
      <c r="C10" s="81" t="s">
        <v>2</v>
      </c>
      <c r="D10" s="82"/>
      <c r="E10" s="66"/>
      <c r="F10" s="66"/>
      <c r="G10" s="66"/>
      <c r="H10" s="66"/>
      <c r="I10" s="66"/>
      <c r="J10" s="88" t="str">
        <f>(IF(K5&lt;=45000,"x 25% of Line C",IF(K5&lt;=56250,"= $22,500",IF(K5&lt;=90000,"x 40% of Line C",IF(K5&lt;=144000,"$36,000","x 25% of Line E")))))</f>
        <v>x 25% of Line C</v>
      </c>
      <c r="K10" s="89">
        <f>(IF(K5&lt;=45000,K5*0.25,IF(K5&lt;=56250,22500,IF(K5&lt;=90000,K5*0.4,IF(K5&lt;=144000,36000,K8*0.25)))))</f>
        <v>0</v>
      </c>
      <c r="L10" s="67"/>
      <c r="N10" s="90"/>
    </row>
    <row r="11" spans="1:16" x14ac:dyDescent="0.2">
      <c r="B11" s="76" t="s">
        <v>27</v>
      </c>
      <c r="C11" s="81" t="s">
        <v>72</v>
      </c>
      <c r="D11" s="82"/>
      <c r="E11" s="66"/>
      <c r="F11" s="66"/>
      <c r="G11" s="66"/>
      <c r="H11" s="66"/>
      <c r="I11" s="66"/>
      <c r="J11" s="83" t="s">
        <v>20</v>
      </c>
      <c r="K11" s="80"/>
      <c r="L11" s="67"/>
      <c r="M11" s="66"/>
    </row>
    <row r="12" spans="1:16" x14ac:dyDescent="0.2">
      <c r="B12" s="76" t="s">
        <v>28</v>
      </c>
      <c r="C12" s="81" t="s">
        <v>9</v>
      </c>
      <c r="D12" s="82"/>
      <c r="E12" s="66"/>
      <c r="F12" s="66"/>
      <c r="G12" s="66"/>
      <c r="H12" s="66"/>
      <c r="I12" s="66"/>
      <c r="J12" s="83" t="s">
        <v>19</v>
      </c>
      <c r="K12" s="50">
        <f>IF(K10&lt;K11,0,K10-K11)</f>
        <v>0</v>
      </c>
      <c r="M12" s="66"/>
    </row>
    <row r="13" spans="1:16" x14ac:dyDescent="0.2">
      <c r="B13" s="91" t="s">
        <v>30</v>
      </c>
      <c r="C13" s="92" t="s">
        <v>446</v>
      </c>
      <c r="D13" s="82"/>
      <c r="E13" s="66"/>
      <c r="F13" s="66"/>
      <c r="G13" s="66"/>
      <c r="H13" s="66"/>
      <c r="I13" s="66"/>
      <c r="J13" s="93" t="s">
        <v>81</v>
      </c>
      <c r="K13" s="52">
        <f>MIN(K6,K12)</f>
        <v>0</v>
      </c>
      <c r="L13" s="69">
        <f>IF(ISERROR(K13/K5),0,K13/K5)</f>
        <v>0</v>
      </c>
      <c r="M13" s="66"/>
    </row>
    <row r="14" spans="1:16" ht="12.75" x14ac:dyDescent="0.2">
      <c r="B14" s="279" t="s">
        <v>13</v>
      </c>
      <c r="C14" s="280"/>
      <c r="D14" s="280"/>
      <c r="E14" s="280"/>
      <c r="F14" s="280"/>
      <c r="G14" s="280"/>
      <c r="H14" s="280"/>
      <c r="I14" s="280"/>
      <c r="J14" s="280"/>
      <c r="K14" s="281"/>
      <c r="L14" s="67"/>
      <c r="N14" s="70">
        <f>L13+L15</f>
        <v>0</v>
      </c>
    </row>
    <row r="15" spans="1:16" x14ac:dyDescent="0.2">
      <c r="A15" s="34"/>
      <c r="B15" s="94" t="s">
        <v>31</v>
      </c>
      <c r="C15" s="77" t="s">
        <v>68</v>
      </c>
      <c r="D15" s="66"/>
      <c r="E15" s="66"/>
      <c r="F15" s="66"/>
      <c r="G15" s="66"/>
      <c r="H15" s="66"/>
      <c r="I15" s="78" t="s">
        <v>43</v>
      </c>
      <c r="J15" s="78" t="s">
        <v>41</v>
      </c>
      <c r="K15" s="53">
        <f>IF(K12&lt;K6,K6-K12,0)</f>
        <v>0</v>
      </c>
      <c r="L15" s="69">
        <f>IF(ISERROR(K15/K5),0,K15/K5)</f>
        <v>0</v>
      </c>
      <c r="M15" s="66"/>
    </row>
    <row r="16" spans="1:16" x14ac:dyDescent="0.2">
      <c r="A16" s="34"/>
      <c r="B16" s="94" t="s">
        <v>32</v>
      </c>
      <c r="C16" s="77" t="s">
        <v>69</v>
      </c>
      <c r="D16" s="66"/>
      <c r="E16" s="66"/>
      <c r="F16" s="66"/>
      <c r="G16" s="66"/>
      <c r="H16" s="66"/>
      <c r="I16" s="99" t="s">
        <v>447</v>
      </c>
      <c r="J16" s="78" t="s">
        <v>42</v>
      </c>
      <c r="K16" s="95">
        <f>IF(K4&lt;K3,K3-K4,0)</f>
        <v>0</v>
      </c>
      <c r="L16" s="67"/>
      <c r="M16" s="66"/>
    </row>
    <row r="17" spans="1:16" x14ac:dyDescent="0.2">
      <c r="A17" s="34"/>
      <c r="B17" s="94" t="s">
        <v>33</v>
      </c>
      <c r="C17" s="96" t="s">
        <v>14</v>
      </c>
      <c r="D17" s="97"/>
      <c r="E17" s="66"/>
      <c r="F17" s="66"/>
      <c r="G17" s="66"/>
      <c r="H17" s="66"/>
      <c r="I17" s="66"/>
      <c r="J17" s="83" t="s">
        <v>19</v>
      </c>
      <c r="K17" s="53">
        <f>SUM(K15:K16)</f>
        <v>0</v>
      </c>
      <c r="L17" s="67"/>
      <c r="M17" s="66"/>
    </row>
    <row r="18" spans="1:16" x14ac:dyDescent="0.2">
      <c r="A18" s="34"/>
      <c r="B18" s="94" t="s">
        <v>34</v>
      </c>
      <c r="C18" s="98" t="s">
        <v>6</v>
      </c>
      <c r="D18" s="97"/>
      <c r="E18" s="66"/>
      <c r="F18" s="66"/>
      <c r="G18" s="66"/>
      <c r="H18" s="66"/>
      <c r="I18" s="66"/>
      <c r="J18" s="99" t="s">
        <v>18</v>
      </c>
      <c r="K18" s="80"/>
      <c r="L18" s="67"/>
      <c r="M18" s="66"/>
      <c r="N18" s="70">
        <f>L15+L21</f>
        <v>0</v>
      </c>
    </row>
    <row r="19" spans="1:16" x14ac:dyDescent="0.2">
      <c r="A19" s="34"/>
      <c r="B19" s="94" t="s">
        <v>35</v>
      </c>
      <c r="C19" s="96" t="s">
        <v>5</v>
      </c>
      <c r="D19" s="97"/>
      <c r="E19" s="66"/>
      <c r="F19" s="66"/>
      <c r="G19" s="66"/>
      <c r="H19" s="66"/>
      <c r="I19" s="66"/>
      <c r="J19" s="83" t="s">
        <v>19</v>
      </c>
      <c r="K19" s="52">
        <f>SUM(K17:K18)</f>
        <v>0</v>
      </c>
      <c r="L19" s="72">
        <f>IF(ISERROR(K19/K3),0,K19/K3)</f>
        <v>0</v>
      </c>
      <c r="M19" s="66" t="s">
        <v>90</v>
      </c>
    </row>
    <row r="20" spans="1:16" ht="12.75" x14ac:dyDescent="0.2">
      <c r="B20" s="279" t="s">
        <v>15</v>
      </c>
      <c r="C20" s="280"/>
      <c r="D20" s="280"/>
      <c r="E20" s="280"/>
      <c r="F20" s="280"/>
      <c r="G20" s="280"/>
      <c r="H20" s="280"/>
      <c r="I20" s="280"/>
      <c r="J20" s="280"/>
      <c r="K20" s="281"/>
      <c r="L20" s="71"/>
    </row>
    <row r="21" spans="1:16" x14ac:dyDescent="0.2">
      <c r="A21" s="34"/>
      <c r="B21" s="94" t="s">
        <v>36</v>
      </c>
      <c r="C21" s="96" t="s">
        <v>44</v>
      </c>
      <c r="D21" s="97"/>
      <c r="E21" s="66"/>
      <c r="F21" s="66"/>
      <c r="G21" s="66"/>
      <c r="H21" s="66"/>
      <c r="J21" s="99" t="s">
        <v>87</v>
      </c>
      <c r="K21" s="54">
        <f>K3-K17</f>
        <v>0</v>
      </c>
      <c r="L21" s="69">
        <f>IF(ISERROR(K21/K5),0,K21/K5)</f>
        <v>0</v>
      </c>
    </row>
    <row r="22" spans="1:16" x14ac:dyDescent="0.2">
      <c r="A22" s="34"/>
      <c r="B22" s="94" t="s">
        <v>37</v>
      </c>
      <c r="C22" s="96" t="s">
        <v>16</v>
      </c>
      <c r="D22" s="97"/>
      <c r="E22" s="66"/>
      <c r="F22" s="66"/>
      <c r="G22" s="66"/>
      <c r="H22" s="66"/>
      <c r="I22" s="66"/>
      <c r="J22" s="100" t="s">
        <v>88</v>
      </c>
      <c r="K22" s="95">
        <f>K18</f>
        <v>0</v>
      </c>
      <c r="L22" s="67"/>
    </row>
    <row r="23" spans="1:16" x14ac:dyDescent="0.2">
      <c r="A23" s="34"/>
      <c r="B23" s="94" t="s">
        <v>38</v>
      </c>
      <c r="C23" s="96" t="s">
        <v>7</v>
      </c>
      <c r="D23" s="97"/>
      <c r="E23" s="66"/>
      <c r="F23" s="66"/>
      <c r="G23" s="66"/>
      <c r="H23" s="66"/>
      <c r="I23" s="101" t="str">
        <f>IF((K21+K22)&gt;=1200000,"Guideline Maximum is $1,200,000","")</f>
        <v/>
      </c>
      <c r="J23" s="102" t="s">
        <v>19</v>
      </c>
      <c r="K23" s="95">
        <f>IF((K21-K22)&gt;1200000,1200000,K21-K22)</f>
        <v>0</v>
      </c>
      <c r="L23" s="72">
        <f>IF(ISERROR(K23/K5),0,K23/K5)</f>
        <v>0</v>
      </c>
      <c r="M23" s="103" t="s">
        <v>73</v>
      </c>
      <c r="N23" s="74"/>
    </row>
    <row r="24" spans="1:16" x14ac:dyDescent="0.2">
      <c r="A24" s="34"/>
      <c r="B24" s="94" t="s">
        <v>39</v>
      </c>
      <c r="C24" s="98" t="s">
        <v>4</v>
      </c>
      <c r="H24" s="105"/>
      <c r="I24" s="106"/>
      <c r="K24" s="191"/>
      <c r="L24" s="108"/>
      <c r="M24" s="103"/>
      <c r="N24" s="74"/>
    </row>
    <row r="25" spans="1:16" x14ac:dyDescent="0.2">
      <c r="A25" s="34"/>
      <c r="B25" s="94"/>
      <c r="C25" s="202" t="s">
        <v>466</v>
      </c>
      <c r="H25" s="105"/>
      <c r="I25" s="106"/>
      <c r="K25" s="178"/>
      <c r="L25" s="108"/>
      <c r="M25" s="103"/>
      <c r="N25" s="74"/>
      <c r="P25" s="44" t="b">
        <v>0</v>
      </c>
    </row>
    <row r="26" spans="1:16" x14ac:dyDescent="0.2">
      <c r="A26" s="34"/>
      <c r="B26" s="94"/>
      <c r="C26" s="193" t="s">
        <v>463</v>
      </c>
      <c r="D26" s="104"/>
      <c r="E26" s="188"/>
      <c r="F26" s="189"/>
      <c r="G26" s="71"/>
      <c r="H26" s="105"/>
      <c r="I26" s="106"/>
      <c r="K26" s="178"/>
      <c r="P26" s="196" t="b">
        <v>0</v>
      </c>
    </row>
    <row r="27" spans="1:16" x14ac:dyDescent="0.2">
      <c r="A27" s="34"/>
      <c r="B27" s="94"/>
      <c r="C27" s="193" t="s">
        <v>464</v>
      </c>
      <c r="D27" s="104"/>
      <c r="E27" s="188"/>
      <c r="F27" s="189"/>
      <c r="G27" s="71"/>
      <c r="H27" s="105"/>
      <c r="I27" s="106"/>
      <c r="J27" s="187"/>
      <c r="K27" s="192"/>
      <c r="L27" s="190"/>
      <c r="M27" s="75"/>
      <c r="P27" s="196" t="b">
        <v>0</v>
      </c>
    </row>
    <row r="28" spans="1:16" ht="12" thickBot="1" x14ac:dyDescent="0.25">
      <c r="A28" s="34"/>
      <c r="B28" s="94"/>
      <c r="C28" s="98"/>
      <c r="D28" s="104" t="s">
        <v>82</v>
      </c>
      <c r="E28" s="194">
        <f>IF(PUREX=TRUE,0,IF(AND(REGMIL=FALSE,FIRST=FALSE,L19&lt;0.05),3.3,IF(AND(REGMIL=FALSE,FIRST=FALSE,L19&lt;0.1),1.75,IF(AND(REGMIL=FALSE,FIRST=FALSE,L19&gt;=0.1),1.5,IF(AND(REGMIL=FALSE,FIRST=TRUE,L19&lt;0.05),2.4,IF(AND(REGMIL=FALSE,FIRST=TRUE,L19&lt;0.1),1.75,IF(AND(REGMIL=FALSE,FIRST=TRUE,L19&gt;=0.1),1.5,IF(AND(REGMIL=TRUE,FIRST=FALSE,L19&lt;0.05),3.3,IF(AND(REGMIL=TRUE,FIRST=FALSE,L19&lt;0.1),1.5,IF(AND(REGMIL=TRUE,FIRST=FALSE,L19&gt;=0.1),1.25,IF(AND(REGMIL=TRUE,FIRST=TRUE,L19&lt;0.05),2.15,IF(AND(REGMIL=TRUE,FIRST=TRUE,L19&lt;0.1),1.5,IF(AND(REGMIL=TRUE,FIRST=TRUE,L19&gt;=0.1),1.25,0)))))))))))))</f>
        <v>3.3</v>
      </c>
      <c r="F28" s="195" t="s">
        <v>354</v>
      </c>
      <c r="G28" s="48">
        <f>K23*(E28/100)</f>
        <v>0</v>
      </c>
      <c r="H28" s="105"/>
      <c r="I28" s="106"/>
      <c r="J28" s="107" t="s">
        <v>83</v>
      </c>
      <c r="K28" s="58">
        <f>IF((K23+G28)&gt;=1500000,1500000-K23,G28)</f>
        <v>0</v>
      </c>
      <c r="P28" s="29"/>
    </row>
    <row r="29" spans="1:16" ht="12" thickBot="1" x14ac:dyDescent="0.25">
      <c r="B29" s="109" t="s">
        <v>40</v>
      </c>
      <c r="C29" s="277" t="s">
        <v>8</v>
      </c>
      <c r="D29" s="278"/>
      <c r="E29" s="278"/>
      <c r="F29" s="110"/>
      <c r="G29" s="110"/>
      <c r="H29" s="110"/>
      <c r="I29" s="111"/>
      <c r="J29" s="165" t="s">
        <v>448</v>
      </c>
      <c r="K29" s="61">
        <f>SUM(K23,K28)</f>
        <v>0</v>
      </c>
      <c r="L29" s="72">
        <f>IF(ISERROR(K29/K5),0,K29/K5)</f>
        <v>0</v>
      </c>
      <c r="M29" s="75" t="s">
        <v>74</v>
      </c>
    </row>
    <row r="30" spans="1:16" x14ac:dyDescent="0.2">
      <c r="B30" s="115"/>
      <c r="C30" s="66"/>
      <c r="D30" s="66"/>
      <c r="E30" s="66"/>
      <c r="F30" s="66"/>
      <c r="G30" s="66"/>
      <c r="H30" s="66"/>
      <c r="I30" s="66"/>
      <c r="J30" s="78"/>
      <c r="K30" s="57"/>
    </row>
    <row r="31" spans="1:16" ht="12.75" x14ac:dyDescent="0.2">
      <c r="B31" s="269" t="s">
        <v>86</v>
      </c>
      <c r="C31" s="270"/>
      <c r="D31" s="270"/>
      <c r="E31" s="270"/>
      <c r="F31" s="270"/>
      <c r="G31" s="270"/>
      <c r="H31" s="270"/>
      <c r="I31" s="270"/>
      <c r="J31" s="270"/>
      <c r="K31" s="275"/>
    </row>
    <row r="32" spans="1:16" x14ac:dyDescent="0.2">
      <c r="B32" s="76" t="s">
        <v>50</v>
      </c>
      <c r="C32" s="77" t="s">
        <v>45</v>
      </c>
      <c r="D32" s="66"/>
      <c r="E32" s="66"/>
      <c r="F32" s="66"/>
      <c r="G32" s="66"/>
      <c r="H32" s="66"/>
      <c r="I32" s="66"/>
      <c r="J32" s="78" t="s">
        <v>21</v>
      </c>
      <c r="K32" s="52">
        <f>K3</f>
        <v>0</v>
      </c>
    </row>
    <row r="33" spans="2:11" x14ac:dyDescent="0.2">
      <c r="B33" s="76" t="s">
        <v>51</v>
      </c>
      <c r="C33" s="56" t="s">
        <v>46</v>
      </c>
      <c r="J33" s="116" t="s">
        <v>18</v>
      </c>
      <c r="K33" s="80"/>
    </row>
    <row r="34" spans="2:11" x14ac:dyDescent="0.2">
      <c r="B34" s="76" t="s">
        <v>52</v>
      </c>
      <c r="C34" s="56" t="s">
        <v>48</v>
      </c>
      <c r="J34" s="116" t="s">
        <v>18</v>
      </c>
      <c r="K34" s="80"/>
    </row>
    <row r="35" spans="2:11" ht="12" thickBot="1" x14ac:dyDescent="0.25">
      <c r="B35" s="76" t="s">
        <v>53</v>
      </c>
      <c r="C35" s="56" t="s">
        <v>47</v>
      </c>
      <c r="J35" s="116" t="s">
        <v>84</v>
      </c>
      <c r="K35" s="58">
        <f>G28</f>
        <v>0</v>
      </c>
    </row>
    <row r="36" spans="2:11" ht="12" thickBot="1" x14ac:dyDescent="0.25">
      <c r="B36" s="117" t="s">
        <v>54</v>
      </c>
      <c r="C36" s="118" t="s">
        <v>49</v>
      </c>
      <c r="D36" s="118"/>
      <c r="E36" s="118"/>
      <c r="F36" s="118"/>
      <c r="G36" s="118"/>
      <c r="H36" s="118"/>
      <c r="I36" s="118"/>
      <c r="J36" s="112" t="s">
        <v>19</v>
      </c>
      <c r="K36" s="59">
        <f>SUM(K32:K35)</f>
        <v>0</v>
      </c>
    </row>
    <row r="37" spans="2:11" x14ac:dyDescent="0.2">
      <c r="B37" s="76" t="s">
        <v>55</v>
      </c>
      <c r="C37" s="56" t="s">
        <v>56</v>
      </c>
      <c r="J37" s="116" t="s">
        <v>18</v>
      </c>
      <c r="K37" s="80"/>
    </row>
    <row r="38" spans="2:11" x14ac:dyDescent="0.2">
      <c r="B38" s="76" t="s">
        <v>57</v>
      </c>
      <c r="C38" s="56" t="s">
        <v>58</v>
      </c>
      <c r="J38" s="116" t="s">
        <v>18</v>
      </c>
      <c r="K38" s="80"/>
    </row>
    <row r="39" spans="2:11" x14ac:dyDescent="0.2">
      <c r="B39" s="76" t="s">
        <v>59</v>
      </c>
      <c r="C39" s="56" t="s">
        <v>63</v>
      </c>
      <c r="J39" s="116" t="s">
        <v>38</v>
      </c>
      <c r="K39" s="58">
        <f>K23</f>
        <v>0</v>
      </c>
    </row>
    <row r="40" spans="2:11" ht="12" thickBot="1" x14ac:dyDescent="0.25">
      <c r="B40" s="76" t="s">
        <v>29</v>
      </c>
      <c r="C40" s="56" t="s">
        <v>60</v>
      </c>
      <c r="I40" s="133"/>
      <c r="J40" s="116" t="s">
        <v>85</v>
      </c>
      <c r="K40" s="58">
        <f>IF(SUM(K23:K28)&lt;=K8,K28,0)</f>
        <v>0</v>
      </c>
    </row>
    <row r="41" spans="2:11" ht="12" thickBot="1" x14ac:dyDescent="0.25">
      <c r="B41" s="117" t="s">
        <v>61</v>
      </c>
      <c r="C41" s="118" t="s">
        <v>64</v>
      </c>
      <c r="D41" s="118"/>
      <c r="E41" s="118"/>
      <c r="F41" s="118"/>
      <c r="G41" s="118"/>
      <c r="H41" s="118"/>
      <c r="I41" s="118"/>
      <c r="J41" s="112" t="s">
        <v>19</v>
      </c>
      <c r="K41" s="60">
        <f>SUM(K37:K40)</f>
        <v>0</v>
      </c>
    </row>
    <row r="42" spans="2:11" ht="12" thickBot="1" x14ac:dyDescent="0.25">
      <c r="B42" s="119" t="s">
        <v>62</v>
      </c>
      <c r="C42" s="87" t="s">
        <v>65</v>
      </c>
      <c r="D42" s="87"/>
      <c r="E42" s="87"/>
      <c r="F42" s="87"/>
      <c r="G42" s="87"/>
      <c r="H42" s="87"/>
      <c r="I42" s="87"/>
      <c r="J42" s="120" t="s">
        <v>66</v>
      </c>
      <c r="K42" s="61">
        <f>K36-K41</f>
        <v>0</v>
      </c>
    </row>
    <row r="43" spans="2:11" ht="12.75" x14ac:dyDescent="0.2">
      <c r="B43" s="282" t="str">
        <f>IF(AND(K38="",K37="",K34="",K33="",K18="",K11="",K4="",K3=""),"",IF(OR(K38="",K37="",K34="",K33="",K18="",K11="",K4="",K3=""),"PLEASE COMPLETE FORM. All blue fields MUST be filled, where zero please enter zero.",""))</f>
        <v/>
      </c>
      <c r="C43" s="282"/>
      <c r="D43" s="282"/>
      <c r="E43" s="282"/>
      <c r="F43" s="282"/>
      <c r="G43" s="282"/>
      <c r="H43" s="282"/>
      <c r="I43" s="282"/>
      <c r="J43" s="282"/>
      <c r="K43" s="282"/>
    </row>
    <row r="45" spans="2:11" ht="12.75" x14ac:dyDescent="0.2">
      <c r="B45" s="269" t="s">
        <v>91</v>
      </c>
      <c r="C45" s="270"/>
      <c r="D45" s="270"/>
      <c r="E45" s="270"/>
      <c r="F45" s="121"/>
      <c r="G45" s="271" t="s">
        <v>92</v>
      </c>
      <c r="H45" s="271"/>
      <c r="I45" s="271"/>
      <c r="J45" s="271"/>
      <c r="K45" s="272"/>
    </row>
    <row r="46" spans="2:11" x14ac:dyDescent="0.2">
      <c r="B46" s="122"/>
      <c r="C46" s="67"/>
      <c r="D46" s="67"/>
      <c r="E46" s="67"/>
      <c r="F46" s="67"/>
      <c r="G46" s="67"/>
      <c r="H46" s="67"/>
      <c r="I46" s="67"/>
      <c r="J46" s="85"/>
      <c r="K46" s="62"/>
    </row>
    <row r="47" spans="2:11" x14ac:dyDescent="0.2">
      <c r="B47" s="122"/>
      <c r="C47" s="67"/>
      <c r="D47" s="67"/>
      <c r="E47" s="67"/>
      <c r="F47" s="67"/>
      <c r="G47" s="67"/>
      <c r="H47" s="67"/>
      <c r="I47" s="67"/>
      <c r="J47" s="85"/>
      <c r="K47" s="62"/>
    </row>
    <row r="48" spans="2:11" x14ac:dyDescent="0.2">
      <c r="B48" s="122"/>
      <c r="C48" s="67"/>
      <c r="D48" s="67"/>
      <c r="E48" s="67"/>
      <c r="F48" s="67"/>
      <c r="G48" s="67"/>
      <c r="H48" s="67"/>
      <c r="I48" s="67"/>
      <c r="J48" s="85"/>
      <c r="K48" s="62"/>
    </row>
    <row r="49" spans="2:11" x14ac:dyDescent="0.2">
      <c r="B49" s="122"/>
      <c r="C49" s="67"/>
      <c r="D49" s="67"/>
      <c r="E49" s="67"/>
      <c r="F49" s="67"/>
      <c r="G49" s="67"/>
      <c r="H49" s="67"/>
      <c r="I49" s="67"/>
      <c r="J49" s="85"/>
      <c r="K49" s="62"/>
    </row>
    <row r="50" spans="2:11" x14ac:dyDescent="0.2">
      <c r="B50" s="122"/>
      <c r="C50" s="67"/>
      <c r="D50" s="67"/>
      <c r="E50" s="67"/>
      <c r="F50" s="67"/>
      <c r="G50" s="67"/>
      <c r="H50" s="67"/>
      <c r="I50" s="67"/>
      <c r="J50" s="85"/>
      <c r="K50" s="62"/>
    </row>
    <row r="51" spans="2:11" x14ac:dyDescent="0.2">
      <c r="B51" s="122"/>
      <c r="C51" s="67"/>
      <c r="D51" s="67"/>
      <c r="E51" s="67"/>
      <c r="F51" s="67"/>
      <c r="G51" s="67"/>
      <c r="H51" s="67"/>
      <c r="I51" s="67"/>
      <c r="J51" s="85"/>
      <c r="K51" s="62"/>
    </row>
    <row r="52" spans="2:11" x14ac:dyDescent="0.2">
      <c r="B52" s="122"/>
      <c r="C52" s="67"/>
      <c r="D52" s="67"/>
      <c r="E52" s="67"/>
      <c r="F52" s="67"/>
      <c r="G52" s="67"/>
      <c r="H52" s="67"/>
      <c r="I52" s="67"/>
      <c r="J52" s="85"/>
      <c r="K52" s="62"/>
    </row>
    <row r="53" spans="2:11" x14ac:dyDescent="0.2">
      <c r="B53" s="122"/>
      <c r="C53" s="67"/>
      <c r="D53" s="67"/>
      <c r="E53" s="67"/>
      <c r="F53" s="67"/>
      <c r="G53" s="67"/>
      <c r="H53" s="67"/>
      <c r="I53" s="67"/>
      <c r="J53" s="85"/>
      <c r="K53" s="62"/>
    </row>
    <row r="54" spans="2:11" x14ac:dyDescent="0.2">
      <c r="B54" s="122"/>
      <c r="C54" s="67"/>
      <c r="D54" s="67"/>
      <c r="E54" s="67"/>
      <c r="F54" s="67"/>
      <c r="G54" s="67"/>
      <c r="H54" s="67"/>
      <c r="I54" s="67"/>
      <c r="J54" s="85"/>
      <c r="K54" s="62"/>
    </row>
    <row r="55" spans="2:11" x14ac:dyDescent="0.2">
      <c r="B55" s="122"/>
      <c r="C55" s="67"/>
      <c r="D55" s="67"/>
      <c r="E55" s="67"/>
      <c r="F55" s="67"/>
      <c r="G55" s="67"/>
      <c r="H55" s="67"/>
      <c r="I55" s="67"/>
      <c r="J55" s="85"/>
      <c r="K55" s="62"/>
    </row>
    <row r="56" spans="2:11" x14ac:dyDescent="0.2">
      <c r="B56" s="122"/>
      <c r="C56" s="67"/>
      <c r="D56" s="67"/>
      <c r="E56" s="67"/>
      <c r="F56" s="67"/>
      <c r="G56" s="67"/>
      <c r="H56" s="67"/>
      <c r="I56" s="67"/>
      <c r="J56" s="85"/>
      <c r="K56" s="62"/>
    </row>
    <row r="57" spans="2:11" x14ac:dyDescent="0.2">
      <c r="B57" s="122"/>
      <c r="C57" s="67"/>
      <c r="D57" s="67"/>
      <c r="E57" s="67"/>
      <c r="F57" s="67"/>
      <c r="G57" s="67"/>
      <c r="H57" s="67"/>
      <c r="I57" s="67"/>
      <c r="J57" s="85"/>
      <c r="K57" s="62"/>
    </row>
    <row r="58" spans="2:11" x14ac:dyDescent="0.2">
      <c r="B58" s="122"/>
      <c r="C58" s="67"/>
      <c r="D58" s="67"/>
      <c r="E58" s="67"/>
      <c r="F58" s="67"/>
      <c r="G58" s="67"/>
      <c r="H58" s="67"/>
      <c r="I58" s="67"/>
      <c r="J58" s="85"/>
      <c r="K58" s="62"/>
    </row>
    <row r="59" spans="2:11" x14ac:dyDescent="0.2">
      <c r="B59" s="122"/>
      <c r="C59" s="67"/>
      <c r="D59" s="67"/>
      <c r="E59" s="67"/>
      <c r="F59" s="67"/>
      <c r="G59" s="67"/>
      <c r="H59" s="67"/>
      <c r="I59" s="67"/>
      <c r="J59" s="85"/>
      <c r="K59" s="62"/>
    </row>
    <row r="60" spans="2:11" x14ac:dyDescent="0.2">
      <c r="B60" s="122"/>
      <c r="C60" s="65" t="s">
        <v>75</v>
      </c>
      <c r="D60" s="67"/>
      <c r="E60" s="67"/>
      <c r="F60" s="67"/>
      <c r="G60" s="67"/>
      <c r="H60" s="67"/>
      <c r="I60" s="67"/>
      <c r="J60" s="85"/>
      <c r="K60" s="62"/>
    </row>
    <row r="61" spans="2:11" x14ac:dyDescent="0.2">
      <c r="B61" s="122"/>
      <c r="C61" s="97" t="s">
        <v>76</v>
      </c>
      <c r="D61" s="67"/>
      <c r="E61" s="67"/>
      <c r="F61" s="67"/>
      <c r="G61" s="67"/>
      <c r="H61" s="67"/>
      <c r="I61" s="67"/>
      <c r="J61" s="85"/>
      <c r="K61" s="62"/>
    </row>
    <row r="62" spans="2:11" x14ac:dyDescent="0.2">
      <c r="B62" s="122"/>
      <c r="C62" s="97" t="s">
        <v>77</v>
      </c>
      <c r="D62" s="67"/>
      <c r="E62" s="67"/>
      <c r="F62" s="67"/>
      <c r="G62" s="67"/>
      <c r="H62" s="67"/>
      <c r="I62" s="67"/>
      <c r="J62" s="85"/>
      <c r="K62" s="62"/>
    </row>
    <row r="63" spans="2:11" x14ac:dyDescent="0.2">
      <c r="B63" s="122"/>
      <c r="C63" s="97" t="s">
        <v>78</v>
      </c>
      <c r="D63" s="67"/>
      <c r="E63" s="67"/>
      <c r="F63" s="67"/>
      <c r="G63" s="67"/>
      <c r="H63" s="67"/>
      <c r="I63" s="67"/>
      <c r="J63" s="85"/>
      <c r="K63" s="62"/>
    </row>
    <row r="64" spans="2:11" x14ac:dyDescent="0.2">
      <c r="B64" s="122"/>
      <c r="C64" s="123" t="s">
        <v>79</v>
      </c>
      <c r="D64" s="67"/>
      <c r="E64" s="67"/>
      <c r="F64" s="67"/>
      <c r="G64" s="67"/>
      <c r="H64" s="67"/>
      <c r="I64" s="67"/>
      <c r="J64" s="85"/>
      <c r="K64" s="62"/>
    </row>
    <row r="65" spans="2:11" x14ac:dyDescent="0.2">
      <c r="B65" s="122"/>
      <c r="C65" s="97" t="s">
        <v>80</v>
      </c>
      <c r="D65" s="67"/>
      <c r="E65" s="67"/>
      <c r="F65" s="67"/>
      <c r="G65" s="67"/>
      <c r="H65" s="67"/>
      <c r="I65" s="67"/>
      <c r="J65" s="85"/>
      <c r="K65" s="62"/>
    </row>
    <row r="66" spans="2:11" x14ac:dyDescent="0.2">
      <c r="B66" s="124"/>
      <c r="C66" s="125"/>
      <c r="D66" s="125"/>
      <c r="E66" s="125"/>
      <c r="F66" s="125"/>
      <c r="G66" s="125"/>
      <c r="H66" s="125"/>
      <c r="I66" s="125"/>
      <c r="J66" s="126"/>
      <c r="K66" s="63"/>
    </row>
    <row r="67" spans="2:11" x14ac:dyDescent="0.2">
      <c r="B67" s="273" t="s">
        <v>93</v>
      </c>
      <c r="C67" s="274"/>
      <c r="D67" s="274"/>
      <c r="E67" s="274"/>
      <c r="F67" s="274"/>
      <c r="G67" s="274"/>
      <c r="H67" s="274"/>
      <c r="I67" s="274"/>
      <c r="J67" s="274"/>
      <c r="K67" s="274"/>
    </row>
    <row r="68" spans="2:11" x14ac:dyDescent="0.2">
      <c r="B68" s="274"/>
      <c r="C68" s="274"/>
      <c r="D68" s="274"/>
      <c r="E68" s="274"/>
      <c r="F68" s="274"/>
      <c r="G68" s="274"/>
      <c r="H68" s="274"/>
      <c r="I68" s="274"/>
      <c r="J68" s="274"/>
      <c r="K68" s="274"/>
    </row>
    <row r="69" spans="2:11" x14ac:dyDescent="0.2">
      <c r="B69" s="274"/>
      <c r="C69" s="274"/>
      <c r="D69" s="274"/>
      <c r="E69" s="274"/>
      <c r="F69" s="274"/>
      <c r="G69" s="274"/>
      <c r="H69" s="274"/>
      <c r="I69" s="274"/>
      <c r="J69" s="274"/>
      <c r="K69" s="274"/>
    </row>
    <row r="70" spans="2:11" x14ac:dyDescent="0.2">
      <c r="B70" s="274"/>
      <c r="C70" s="274"/>
      <c r="D70" s="274"/>
      <c r="E70" s="274"/>
      <c r="F70" s="274"/>
      <c r="G70" s="274"/>
      <c r="H70" s="274"/>
      <c r="I70" s="274"/>
      <c r="J70" s="274"/>
      <c r="K70" s="274"/>
    </row>
    <row r="71" spans="2:11" x14ac:dyDescent="0.2">
      <c r="B71" s="274"/>
      <c r="C71" s="274"/>
      <c r="D71" s="274"/>
      <c r="E71" s="274"/>
      <c r="F71" s="274"/>
      <c r="G71" s="274"/>
      <c r="H71" s="274"/>
      <c r="I71" s="274"/>
      <c r="J71" s="274"/>
      <c r="K71" s="274"/>
    </row>
    <row r="72" spans="2:11" x14ac:dyDescent="0.2">
      <c r="B72" s="274"/>
      <c r="C72" s="274"/>
      <c r="D72" s="274"/>
      <c r="E72" s="274"/>
      <c r="F72" s="274"/>
      <c r="G72" s="274"/>
      <c r="H72" s="274"/>
      <c r="I72" s="274"/>
      <c r="J72" s="274"/>
      <c r="K72" s="274"/>
    </row>
    <row r="73" spans="2:11" ht="1.5" customHeight="1" x14ac:dyDescent="0.2">
      <c r="B73" s="274"/>
      <c r="C73" s="274"/>
      <c r="D73" s="274"/>
      <c r="E73" s="274"/>
      <c r="F73" s="274"/>
      <c r="G73" s="274"/>
      <c r="H73" s="274"/>
      <c r="I73" s="274"/>
      <c r="J73" s="274"/>
      <c r="K73" s="274"/>
    </row>
    <row r="74" spans="2:11" ht="10.5" hidden="1" customHeight="1" x14ac:dyDescent="0.2">
      <c r="B74" s="274"/>
      <c r="C74" s="274"/>
      <c r="D74" s="274"/>
      <c r="E74" s="274"/>
      <c r="F74" s="274"/>
      <c r="G74" s="274"/>
      <c r="H74" s="274"/>
      <c r="I74" s="274"/>
      <c r="J74" s="274"/>
      <c r="K74" s="274"/>
    </row>
    <row r="75" spans="2:11" hidden="1" x14ac:dyDescent="0.2">
      <c r="B75" s="274"/>
      <c r="C75" s="274"/>
      <c r="D75" s="274"/>
      <c r="E75" s="274"/>
      <c r="F75" s="274"/>
      <c r="G75" s="274"/>
      <c r="H75" s="274"/>
      <c r="I75" s="274"/>
      <c r="J75" s="274"/>
      <c r="K75" s="274"/>
    </row>
    <row r="76" spans="2:11" hidden="1" x14ac:dyDescent="0.2">
      <c r="B76" s="274"/>
      <c r="C76" s="274"/>
      <c r="D76" s="274"/>
      <c r="E76" s="274"/>
      <c r="F76" s="274"/>
      <c r="G76" s="274"/>
      <c r="H76" s="274"/>
      <c r="I76" s="274"/>
      <c r="J76" s="274"/>
      <c r="K76" s="274"/>
    </row>
    <row r="77" spans="2:11" x14ac:dyDescent="0.2">
      <c r="B77" s="274"/>
      <c r="C77" s="274"/>
      <c r="D77" s="274"/>
      <c r="E77" s="274"/>
      <c r="F77" s="274"/>
      <c r="G77" s="274"/>
      <c r="H77" s="274"/>
      <c r="I77" s="274"/>
      <c r="J77" s="274"/>
      <c r="K77" s="274"/>
    </row>
    <row r="82" spans="8:8" x14ac:dyDescent="0.2">
      <c r="H82" s="90"/>
    </row>
  </sheetData>
  <sheetProtection password="D045" sheet="1" objects="1" scenarios="1" selectLockedCells="1"/>
  <mergeCells count="11">
    <mergeCell ref="B45:E45"/>
    <mergeCell ref="G45:K45"/>
    <mergeCell ref="B67:K77"/>
    <mergeCell ref="B31:K31"/>
    <mergeCell ref="B1:K1"/>
    <mergeCell ref="C29:E29"/>
    <mergeCell ref="B2:K2"/>
    <mergeCell ref="B7:K7"/>
    <mergeCell ref="B14:K14"/>
    <mergeCell ref="B20:K20"/>
    <mergeCell ref="B43:K43"/>
  </mergeCells>
  <phoneticPr fontId="0" type="noConversion"/>
  <dataValidations count="8">
    <dataValidation type="decimal" operator="greaterThan" allowBlank="1" showInputMessage="1" showErrorMessage="1" errorTitle="Error" error="Appraised value must be &gt; $0.00" sqref="K4">
      <formula1>0</formula1>
    </dataValidation>
    <dataValidation type="decimal" operator="greaterThan" allowBlank="1" showInputMessage="1" showErrorMessage="1" errorTitle="Error" error="Sales price must be &gt; $0.00" sqref="K3">
      <formula1>0</formula1>
    </dataValidation>
    <dataValidation type="whole" operator="greaterThan" allowBlank="1" showInputMessage="1" showErrorMessage="1" errorTitle="Error" error="County limit must be a whole number &gt;$0" sqref="K8:K9">
      <formula1>0</formula1>
    </dataValidation>
    <dataValidation type="decimal" operator="greaterThanOrEqual" allowBlank="1" showInputMessage="1" showErrorMessage="1" errorTitle="Error" error="Previously Used Entitlement must be &gt;=$0.00" sqref="K11">
      <formula1>0</formula1>
    </dataValidation>
    <dataValidation type="decimal" operator="greaterThanOrEqual" allowBlank="1" showInputMessage="1" showErrorMessage="1" errorTitle="Error" error="Value must be &gt;=$0.00" sqref="K33:K34 K37:K38">
      <formula1>0</formula1>
    </dataValidation>
    <dataValidation type="decimal" allowBlank="1" showInputMessage="1" showErrorMessage="1" errorTitle="Error" error="Value must be &gt;=$0.00 and &lt; Sales Price minus Required Down Payment (A-L)." sqref="K18">
      <formula1>0</formula1>
      <formula2>K3-K17</formula2>
    </dataValidation>
    <dataValidation type="decimal" operator="greaterThanOrEqual" allowBlank="1" showInputMessage="1" showErrorMessage="1" error="Value must be greater than or equal to 0." sqref="E26:E28">
      <formula1>0</formula1>
    </dataValidation>
    <dataValidation operator="greaterThanOrEqual" allowBlank="1" showInputMessage="1" showErrorMessage="1" error="Value must be greater than or equal to 0." sqref="F26:F28"/>
  </dataValidations>
  <hyperlinks>
    <hyperlink ref="G45:K45" r:id="rId1" display="Circular 26-11-19 (Nov 22, 2011)"/>
  </hyperlinks>
  <pageMargins left="0.75" right="0.75" top="1" bottom="1" header="0.5" footer="0.5"/>
  <pageSetup scale="7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 r:id="rId5" name="Drop Down 4">
              <controlPr defaultSize="0" autoLine="0" autoPict="0">
                <anchor moveWithCells="1">
                  <from>
                    <xdr:col>8</xdr:col>
                    <xdr:colOff>1057275</xdr:colOff>
                    <xdr:row>8</xdr:row>
                    <xdr:rowOff>47625</xdr:rowOff>
                  </from>
                  <to>
                    <xdr:col>10</xdr:col>
                    <xdr:colOff>1085850</xdr:colOff>
                    <xdr:row>8</xdr:row>
                    <xdr:rowOff>228600</xdr:rowOff>
                  </to>
                </anchor>
              </controlPr>
            </control>
          </mc:Choice>
        </mc:AlternateContent>
        <mc:AlternateContent xmlns:mc="http://schemas.openxmlformats.org/markup-compatibility/2006">
          <mc:Choice Requires="x14">
            <control shapeId="4" r:id="rId6" name="Check Box 5">
              <controlPr defaultSize="0" autoFill="0" autoLine="0" autoPict="0">
                <anchor moveWithCells="1">
                  <from>
                    <xdr:col>2</xdr:col>
                    <xdr:colOff>0</xdr:colOff>
                    <xdr:row>24</xdr:row>
                    <xdr:rowOff>142875</xdr:rowOff>
                  </from>
                  <to>
                    <xdr:col>2</xdr:col>
                    <xdr:colOff>209550</xdr:colOff>
                    <xdr:row>25</xdr:row>
                    <xdr:rowOff>133350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142875</xdr:colOff>
                    <xdr:row>25</xdr:row>
                    <xdr:rowOff>142875</xdr:rowOff>
                  </from>
                  <to>
                    <xdr:col>2</xdr:col>
                    <xdr:colOff>238125</xdr:colOff>
                    <xdr:row>26</xdr:row>
                    <xdr:rowOff>133350</xdr:rowOff>
                  </to>
                </anchor>
              </controlPr>
            </control>
          </mc:Choice>
        </mc:AlternateContent>
        <mc:AlternateContent xmlns:mc="http://schemas.openxmlformats.org/markup-compatibility/2006">
          <mc:Choice Requires="x14">
            <control shapeId="1031" r:id="rId8" name="Button 7">
              <controlPr defaultSize="0" print="0" autoFill="0" autoPict="0" macro="[0]!ClearPurchase">
                <anchor moveWithCells="1" sizeWithCells="1">
                  <from>
                    <xdr:col>11</xdr:col>
                    <xdr:colOff>161925</xdr:colOff>
                    <xdr:row>1</xdr:row>
                    <xdr:rowOff>9525</xdr:rowOff>
                  </from>
                  <to>
                    <xdr:col>16</xdr:col>
                    <xdr:colOff>247650</xdr:colOff>
                    <xdr:row>3</xdr:row>
                    <xdr:rowOff>28575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0</xdr:colOff>
                    <xdr:row>23</xdr:row>
                    <xdr:rowOff>142875</xdr:rowOff>
                  </from>
                  <to>
                    <xdr:col>2</xdr:col>
                    <xdr:colOff>209550</xdr:colOff>
                    <xdr:row>24</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pageSetUpPr fitToPage="1"/>
  </sheetPr>
  <dimension ref="A1:P64"/>
  <sheetViews>
    <sheetView showGridLines="0" zoomScale="125" zoomScaleNormal="125" workbookViewId="0">
      <selection activeCell="K5" sqref="K5"/>
    </sheetView>
  </sheetViews>
  <sheetFormatPr defaultRowHeight="11.25" x14ac:dyDescent="0.2"/>
  <cols>
    <col min="1" max="1" width="1.83203125" customWidth="1"/>
    <col min="2" max="2" width="2.5" style="14" bestFit="1" customWidth="1"/>
    <col min="3" max="3" width="14.1640625" customWidth="1"/>
    <col min="4" max="4" width="5.83203125" customWidth="1"/>
    <col min="5" max="5" width="6.6640625" customWidth="1"/>
    <col min="6" max="6" width="3.33203125" customWidth="1"/>
    <col min="7" max="7" width="11.83203125" customWidth="1"/>
    <col min="8" max="8" width="12.5" customWidth="1"/>
    <col min="9" max="9" width="32.83203125" customWidth="1"/>
    <col min="10" max="10" width="6.5" style="3" bestFit="1" customWidth="1"/>
    <col min="11" max="11" width="19.6640625" style="56" customWidth="1"/>
    <col min="12" max="12" width="8.33203125" style="68" bestFit="1" customWidth="1"/>
    <col min="13" max="13" width="1.83203125" style="56" customWidth="1"/>
    <col min="14" max="14" width="8" style="56" bestFit="1" customWidth="1"/>
    <col min="15" max="15" width="12.5" bestFit="1" customWidth="1"/>
    <col min="16" max="16" width="9.33203125" hidden="1" customWidth="1"/>
  </cols>
  <sheetData>
    <row r="1" spans="1:16" ht="15.75" x14ac:dyDescent="0.2">
      <c r="B1" s="289" t="s">
        <v>462</v>
      </c>
      <c r="C1" s="289"/>
      <c r="D1" s="289"/>
      <c r="E1" s="289"/>
      <c r="F1" s="289"/>
      <c r="G1" s="289"/>
      <c r="H1" s="289"/>
      <c r="I1" s="289"/>
      <c r="J1" s="289"/>
      <c r="K1" s="289"/>
      <c r="L1" s="64"/>
    </row>
    <row r="2" spans="1:16" ht="12.75" x14ac:dyDescent="0.2">
      <c r="B2" s="284" t="s">
        <v>457</v>
      </c>
      <c r="C2" s="285"/>
      <c r="D2" s="285"/>
      <c r="E2" s="285"/>
      <c r="F2" s="285"/>
      <c r="G2" s="285"/>
      <c r="H2" s="285"/>
      <c r="I2" s="285"/>
      <c r="J2" s="285"/>
      <c r="K2" s="288"/>
      <c r="L2" s="64"/>
    </row>
    <row r="3" spans="1:16" ht="21" customHeight="1" x14ac:dyDescent="0.2">
      <c r="B3" s="168"/>
      <c r="C3" s="179"/>
      <c r="D3" s="169"/>
      <c r="E3" s="169"/>
      <c r="F3" s="169"/>
      <c r="G3" s="184" t="s">
        <v>450</v>
      </c>
      <c r="I3" s="169"/>
      <c r="J3" s="169"/>
      <c r="K3" s="170"/>
      <c r="L3" s="64"/>
      <c r="P3" s="44">
        <v>1</v>
      </c>
    </row>
    <row r="4" spans="1:16" ht="12.75" x14ac:dyDescent="0.2">
      <c r="B4" s="292" t="s">
        <v>458</v>
      </c>
      <c r="C4" s="293"/>
      <c r="D4" s="293"/>
      <c r="E4" s="293"/>
      <c r="F4" s="293"/>
      <c r="G4" s="293"/>
      <c r="H4" s="293"/>
      <c r="I4" s="293"/>
      <c r="J4" s="293"/>
      <c r="K4" s="294"/>
      <c r="L4" s="65"/>
      <c r="M4" s="66"/>
    </row>
    <row r="5" spans="1:16" x14ac:dyDescent="0.2">
      <c r="A5" s="34"/>
      <c r="B5" s="15" t="s">
        <v>22</v>
      </c>
      <c r="C5" s="6" t="s">
        <v>1</v>
      </c>
      <c r="D5" s="12"/>
      <c r="E5" s="2"/>
      <c r="F5" s="45"/>
      <c r="G5" s="2"/>
      <c r="H5" s="2"/>
      <c r="I5" s="2"/>
      <c r="J5" s="9" t="s">
        <v>18</v>
      </c>
      <c r="K5" s="49"/>
      <c r="L5" s="67"/>
      <c r="M5" s="66"/>
    </row>
    <row r="6" spans="1:16" x14ac:dyDescent="0.2">
      <c r="A6" s="34"/>
      <c r="B6" s="15" t="s">
        <v>24</v>
      </c>
      <c r="C6" s="201" t="s">
        <v>465</v>
      </c>
      <c r="D6" s="2"/>
      <c r="E6" s="2"/>
      <c r="F6" s="45"/>
      <c r="G6" s="2"/>
      <c r="H6" s="2"/>
      <c r="I6" s="2"/>
      <c r="J6" s="11" t="s">
        <v>3</v>
      </c>
      <c r="K6" s="50">
        <f>K5*0.25</f>
        <v>0</v>
      </c>
      <c r="L6" s="67"/>
      <c r="M6" s="66"/>
    </row>
    <row r="7" spans="1:16" ht="12.75" x14ac:dyDescent="0.2">
      <c r="B7" s="292" t="s">
        <v>11</v>
      </c>
      <c r="C7" s="293"/>
      <c r="D7" s="293"/>
      <c r="E7" s="293"/>
      <c r="F7" s="293"/>
      <c r="G7" s="293"/>
      <c r="H7" s="293"/>
      <c r="I7" s="293"/>
      <c r="J7" s="293"/>
      <c r="K7" s="294"/>
      <c r="L7" s="67"/>
      <c r="M7" s="66"/>
    </row>
    <row r="8" spans="1:16" x14ac:dyDescent="0.2">
      <c r="A8" s="34"/>
      <c r="B8" s="15" t="s">
        <v>25</v>
      </c>
      <c r="C8" s="6" t="s">
        <v>12</v>
      </c>
      <c r="D8" s="2"/>
      <c r="E8" s="2"/>
      <c r="F8" s="45"/>
      <c r="G8" s="2"/>
      <c r="H8" s="2"/>
      <c r="I8" s="41"/>
      <c r="J8" s="9" t="s">
        <v>18</v>
      </c>
      <c r="K8" s="50">
        <f>IF(ISERROR(VLOOKUP($P$8,'County Loan Limits'!$G$4:$J$234,3,FALSE)),417000,VLOOKUP($P$8,'County Loan Limits'!$G$4:$J$234,3,FALSE))</f>
        <v>417000</v>
      </c>
      <c r="L8" s="67"/>
      <c r="M8" s="66"/>
      <c r="P8" s="44">
        <v>1</v>
      </c>
    </row>
    <row r="9" spans="1:16" s="56" customFormat="1" ht="21" customHeight="1" x14ac:dyDescent="0.2">
      <c r="B9" s="76"/>
      <c r="C9" s="181"/>
      <c r="D9" s="180" t="s">
        <v>451</v>
      </c>
      <c r="F9" s="66"/>
      <c r="G9" s="66"/>
      <c r="I9" s="182"/>
      <c r="J9" s="78"/>
      <c r="K9" s="171"/>
      <c r="L9" s="67"/>
      <c r="M9" s="66"/>
    </row>
    <row r="10" spans="1:16" x14ac:dyDescent="0.2">
      <c r="A10" s="34"/>
      <c r="B10" s="15" t="s">
        <v>26</v>
      </c>
      <c r="C10" s="7" t="s">
        <v>2</v>
      </c>
      <c r="D10" s="12"/>
      <c r="E10" s="2"/>
      <c r="F10" s="45"/>
      <c r="G10" s="2"/>
      <c r="H10" s="2"/>
      <c r="I10" s="2"/>
      <c r="J10" s="31" t="str">
        <f>(IF(K5&lt;=45000,"x 25% of Line B",IF(K5&lt;=56250,"= $22,500",IF(K5&lt;=90000,"x 40% of Line B",IF(K5&lt;=144000,"$36,000","x 25% of Line E")))))</f>
        <v>x 25% of Line B</v>
      </c>
      <c r="K10" s="51">
        <f>(IF(K5&lt;=45000,K5*0.25,IF(K5&lt;=56250,22500,IF(K5&lt;=90000,K5*0.4,IF(K5&lt;=144000,36000,K8*0.25)))))</f>
        <v>0</v>
      </c>
      <c r="L10" s="67"/>
    </row>
    <row r="11" spans="1:16" x14ac:dyDescent="0.2">
      <c r="A11" s="34"/>
      <c r="B11" s="15" t="s">
        <v>27</v>
      </c>
      <c r="C11" s="7" t="s">
        <v>72</v>
      </c>
      <c r="D11" s="12"/>
      <c r="E11" s="2"/>
      <c r="F11" s="45"/>
      <c r="G11" s="2"/>
      <c r="H11" s="2"/>
      <c r="I11" s="2"/>
      <c r="J11" s="10" t="s">
        <v>20</v>
      </c>
      <c r="K11" s="49"/>
      <c r="L11" s="67"/>
      <c r="M11" s="66"/>
    </row>
    <row r="12" spans="1:16" x14ac:dyDescent="0.2">
      <c r="A12" s="34"/>
      <c r="B12" s="15" t="s">
        <v>28</v>
      </c>
      <c r="C12" s="7" t="s">
        <v>9</v>
      </c>
      <c r="D12" s="12"/>
      <c r="E12" s="2"/>
      <c r="F12" s="45"/>
      <c r="G12" s="2"/>
      <c r="H12" s="2"/>
      <c r="I12" s="2"/>
      <c r="J12" s="10" t="s">
        <v>19</v>
      </c>
      <c r="K12" s="50">
        <f>IF(K10&lt;K11,0,K10-K11)</f>
        <v>0</v>
      </c>
      <c r="M12" s="66"/>
    </row>
    <row r="13" spans="1:16" x14ac:dyDescent="0.2">
      <c r="B13" s="15"/>
      <c r="C13" s="32" t="s">
        <v>446</v>
      </c>
      <c r="D13" s="12"/>
      <c r="E13" s="2"/>
      <c r="F13" s="45"/>
      <c r="G13" s="2"/>
      <c r="H13" s="2"/>
      <c r="I13" s="2"/>
      <c r="J13" s="33" t="s">
        <v>81</v>
      </c>
      <c r="K13" s="52">
        <f>MIN(K6,K12)</f>
        <v>0</v>
      </c>
      <c r="L13" s="69">
        <f>IF(ISERROR(K13/K5),0,K13/K5)</f>
        <v>0</v>
      </c>
      <c r="M13" s="66"/>
    </row>
    <row r="14" spans="1:16" ht="12.75" x14ac:dyDescent="0.2">
      <c r="B14" s="292" t="s">
        <v>70</v>
      </c>
      <c r="C14" s="293"/>
      <c r="D14" s="293"/>
      <c r="E14" s="293"/>
      <c r="F14" s="293"/>
      <c r="G14" s="293"/>
      <c r="H14" s="293"/>
      <c r="I14" s="293"/>
      <c r="J14" s="293"/>
      <c r="K14" s="294"/>
      <c r="L14" s="67"/>
      <c r="N14" s="70">
        <f>IF(ISERROR(L13+L15),0,L13+L15)</f>
        <v>0</v>
      </c>
    </row>
    <row r="15" spans="1:16" x14ac:dyDescent="0.2">
      <c r="A15" s="34"/>
      <c r="B15" s="15" t="s">
        <v>30</v>
      </c>
      <c r="C15" s="6" t="s">
        <v>71</v>
      </c>
      <c r="D15" s="2"/>
      <c r="E15" s="2"/>
      <c r="F15" s="45"/>
      <c r="G15" s="2"/>
      <c r="H15" s="2"/>
      <c r="I15" s="9" t="s">
        <v>43</v>
      </c>
      <c r="J15" s="9" t="s">
        <v>41</v>
      </c>
      <c r="K15" s="53">
        <f>IF(K12&lt;K6,K6-K12,0)</f>
        <v>0</v>
      </c>
      <c r="L15" s="69">
        <f>IF(ISERROR(K15/K5),0,K15/K5)</f>
        <v>0</v>
      </c>
      <c r="M15" s="66"/>
    </row>
    <row r="16" spans="1:16" ht="12.75" x14ac:dyDescent="0.2">
      <c r="B16" s="292" t="s">
        <v>15</v>
      </c>
      <c r="C16" s="293"/>
      <c r="D16" s="293"/>
      <c r="E16" s="293"/>
      <c r="F16" s="293"/>
      <c r="G16" s="293"/>
      <c r="H16" s="293"/>
      <c r="I16" s="293"/>
      <c r="J16" s="293"/>
      <c r="K16" s="294"/>
      <c r="L16" s="71"/>
      <c r="M16" s="66"/>
      <c r="N16" s="70">
        <f>L15+L17</f>
        <v>0</v>
      </c>
    </row>
    <row r="17" spans="1:16" x14ac:dyDescent="0.2">
      <c r="A17" s="34"/>
      <c r="B17" s="15" t="s">
        <v>35</v>
      </c>
      <c r="C17" s="8" t="s">
        <v>44</v>
      </c>
      <c r="D17" s="13"/>
      <c r="E17" s="2"/>
      <c r="F17" s="45"/>
      <c r="G17" s="2"/>
      <c r="H17" s="2"/>
      <c r="J17" s="37" t="s">
        <v>89</v>
      </c>
      <c r="K17" s="54">
        <f>K5-K15</f>
        <v>0</v>
      </c>
      <c r="L17" s="69">
        <f>IF(ISERROR(K17/K5),0,K17/K5)</f>
        <v>0</v>
      </c>
    </row>
    <row r="18" spans="1:16" ht="11.25" customHeight="1" x14ac:dyDescent="0.2">
      <c r="A18" s="34"/>
      <c r="B18" s="15" t="s">
        <v>37</v>
      </c>
      <c r="C18" s="8" t="s">
        <v>7</v>
      </c>
      <c r="D18" s="13"/>
      <c r="E18" s="2"/>
      <c r="F18" s="45"/>
      <c r="G18" s="2"/>
      <c r="H18" s="2"/>
      <c r="I18" s="130" t="str">
        <f>IF(AND(P3=3,(K5-K15)&gt;(K5*0.9)),"NOTE: Guideline Maximum is 90% LTV for Speciality Cash Out.",IF((K5-K15)&gt;1200000,"Guideline Maximum is $1,200,000.",""))</f>
        <v/>
      </c>
      <c r="J18" s="102" t="s">
        <v>19</v>
      </c>
      <c r="K18" s="55">
        <f>IFERROR(IF(IF(P3=3,IF((K5-K15)/K5&gt;0.9,K5*0.9,K5-K15),IF((K5-K15)/K5&gt;1,K5,K5-K15))&gt;1200000,1200000,IF(P3=3,IF((K5-K15)/K5&gt;0.9,K5*0.9,K5-K15),IF((K5-K15)/K5&gt;1,K5,K5-K15))),0)</f>
        <v>0</v>
      </c>
      <c r="L18" s="72">
        <f>IF(ISERROR(K18/K5),0,K18/K5)</f>
        <v>0</v>
      </c>
      <c r="M18" s="73" t="s">
        <v>73</v>
      </c>
      <c r="N18" s="74"/>
      <c r="O18" s="29"/>
    </row>
    <row r="19" spans="1:16" ht="11.25" customHeight="1" x14ac:dyDescent="0.2">
      <c r="A19" s="34"/>
      <c r="B19" s="15" t="s">
        <v>38</v>
      </c>
      <c r="C19" s="8" t="s">
        <v>4</v>
      </c>
      <c r="E19" s="34"/>
      <c r="H19" s="1"/>
      <c r="I19" s="18"/>
      <c r="K19" s="191"/>
      <c r="N19" s="74"/>
    </row>
    <row r="20" spans="1:16" ht="11.25" customHeight="1" x14ac:dyDescent="0.2">
      <c r="A20" s="34"/>
      <c r="B20" s="15"/>
      <c r="C20" s="202" t="s">
        <v>466</v>
      </c>
      <c r="E20" s="34"/>
      <c r="H20" s="1"/>
      <c r="I20" s="18"/>
      <c r="K20" s="178"/>
      <c r="N20" s="74"/>
      <c r="P20" s="44" t="b">
        <v>0</v>
      </c>
    </row>
    <row r="21" spans="1:16" ht="11.25" customHeight="1" x14ac:dyDescent="0.2">
      <c r="A21" s="34"/>
      <c r="B21" s="15"/>
      <c r="C21" s="193" t="s">
        <v>463</v>
      </c>
      <c r="D21" s="46"/>
      <c r="E21" s="204"/>
      <c r="F21" s="198"/>
      <c r="G21" s="71"/>
      <c r="H21" s="1"/>
      <c r="I21" s="18"/>
      <c r="J21" s="197"/>
      <c r="K21" s="199"/>
      <c r="N21" s="74"/>
      <c r="P21" s="44" t="b">
        <v>0</v>
      </c>
    </row>
    <row r="22" spans="1:16" ht="11.25" customHeight="1" x14ac:dyDescent="0.2">
      <c r="A22" s="34"/>
      <c r="B22" s="15"/>
      <c r="C22" s="193" t="s">
        <v>464</v>
      </c>
      <c r="D22" s="46"/>
      <c r="E22" s="204"/>
      <c r="F22" s="198"/>
      <c r="G22" s="71"/>
      <c r="H22" s="1"/>
      <c r="I22" s="18"/>
      <c r="J22" s="197"/>
      <c r="K22" s="199"/>
      <c r="N22" s="74"/>
      <c r="P22" s="44" t="b">
        <v>0</v>
      </c>
    </row>
    <row r="23" spans="1:16" ht="11.25" customHeight="1" thickBot="1" x14ac:dyDescent="0.25">
      <c r="A23" s="34"/>
      <c r="B23" s="15"/>
      <c r="C23" s="8"/>
      <c r="D23" s="46" t="s">
        <v>82</v>
      </c>
      <c r="E23" s="200">
        <f>IF(CASHEX=TRUE,0,IF(AND(REGMILC=FALSE,FIRSTC=FALSE),3.3,IF(AND(REGMILC=FALSE,FIRSTC=TRUE),2.4,IF(AND(REGMILC=TRUE,FIRSTC=FALSE),3.3,IF(AND(REGMILC=TRUE,FIRSTC=TRUE),2.15,"")))))</f>
        <v>3.3</v>
      </c>
      <c r="F23" s="195" t="s">
        <v>354</v>
      </c>
      <c r="G23" s="48">
        <f>K18*(E23/100)</f>
        <v>0</v>
      </c>
      <c r="H23" s="1"/>
      <c r="I23" s="18"/>
      <c r="J23" s="35" t="s">
        <v>83</v>
      </c>
      <c r="K23" s="48">
        <f>IF((K18+G23)&gt;1500000,1500000-K18,G23)</f>
        <v>0</v>
      </c>
      <c r="N23" s="74"/>
    </row>
    <row r="24" spans="1:16" ht="11.25" customHeight="1" thickBot="1" x14ac:dyDescent="0.25">
      <c r="A24" s="34"/>
      <c r="B24" s="16" t="s">
        <v>39</v>
      </c>
      <c r="C24" s="290" t="s">
        <v>8</v>
      </c>
      <c r="D24" s="291"/>
      <c r="E24" s="291"/>
      <c r="F24" s="47"/>
      <c r="G24" s="43"/>
      <c r="H24" s="17"/>
      <c r="I24" s="131"/>
      <c r="J24" s="166" t="s">
        <v>449</v>
      </c>
      <c r="K24" s="61">
        <f>IF(SUM(K18:K23)&gt;1500000,1500000,SUM(K18:K23))</f>
        <v>0</v>
      </c>
      <c r="L24" s="72">
        <f>IF(ISERROR(K24/K5),0,K24/K5)</f>
        <v>0</v>
      </c>
      <c r="M24" s="75" t="s">
        <v>74</v>
      </c>
    </row>
    <row r="25" spans="1:16" x14ac:dyDescent="0.2">
      <c r="B25" s="19"/>
      <c r="C25" s="2"/>
      <c r="D25" s="2"/>
      <c r="E25" s="2"/>
      <c r="F25" s="45"/>
      <c r="G25" s="2"/>
      <c r="H25" s="2"/>
      <c r="I25" s="2"/>
      <c r="J25" s="9"/>
      <c r="K25" s="57"/>
    </row>
    <row r="26" spans="1:16" ht="12.75" x14ac:dyDescent="0.2">
      <c r="B26" s="284" t="s">
        <v>86</v>
      </c>
      <c r="C26" s="285"/>
      <c r="D26" s="285"/>
      <c r="E26" s="285"/>
      <c r="F26" s="285"/>
      <c r="G26" s="285"/>
      <c r="H26" s="285"/>
      <c r="I26" s="285"/>
      <c r="J26" s="285"/>
      <c r="K26" s="288"/>
    </row>
    <row r="27" spans="1:16" ht="11.25" customHeight="1" x14ac:dyDescent="0.2">
      <c r="B27" s="15" t="s">
        <v>50</v>
      </c>
      <c r="C27" s="6" t="s">
        <v>67</v>
      </c>
      <c r="D27" s="2"/>
      <c r="E27" s="2"/>
      <c r="F27" s="2"/>
      <c r="G27" s="2"/>
      <c r="H27" s="2"/>
      <c r="I27" s="2"/>
      <c r="J27" s="9" t="s">
        <v>18</v>
      </c>
      <c r="K27" s="49"/>
    </row>
    <row r="28" spans="1:16" ht="11.25" customHeight="1" x14ac:dyDescent="0.2">
      <c r="B28" s="15" t="s">
        <v>51</v>
      </c>
      <c r="C28" t="s">
        <v>46</v>
      </c>
      <c r="J28" s="3" t="s">
        <v>18</v>
      </c>
      <c r="K28" s="49"/>
    </row>
    <row r="29" spans="1:16" ht="11.25" customHeight="1" x14ac:dyDescent="0.2">
      <c r="B29" s="15" t="s">
        <v>52</v>
      </c>
      <c r="C29" t="s">
        <v>48</v>
      </c>
      <c r="J29" s="3" t="s">
        <v>18</v>
      </c>
      <c r="K29" s="49"/>
    </row>
    <row r="30" spans="1:16" ht="11.25" customHeight="1" thickBot="1" x14ac:dyDescent="0.25">
      <c r="B30" s="15" t="s">
        <v>53</v>
      </c>
      <c r="C30" t="s">
        <v>47</v>
      </c>
      <c r="J30" s="36" t="s">
        <v>84</v>
      </c>
      <c r="K30" s="58">
        <f>G23</f>
        <v>0</v>
      </c>
    </row>
    <row r="31" spans="1:16" ht="11.25" customHeight="1" thickBot="1" x14ac:dyDescent="0.25">
      <c r="B31" s="20" t="s">
        <v>54</v>
      </c>
      <c r="C31" s="21" t="s">
        <v>49</v>
      </c>
      <c r="D31" s="21"/>
      <c r="E31" s="21"/>
      <c r="F31" s="21"/>
      <c r="G31" s="21"/>
      <c r="H31" s="21"/>
      <c r="I31" s="21"/>
      <c r="J31" s="24" t="s">
        <v>19</v>
      </c>
      <c r="K31" s="59">
        <f>SUM(K27:K30)</f>
        <v>0</v>
      </c>
    </row>
    <row r="32" spans="1:16" ht="11.25" customHeight="1" x14ac:dyDescent="0.2">
      <c r="B32" s="15" t="s">
        <v>59</v>
      </c>
      <c r="C32" t="s">
        <v>63</v>
      </c>
      <c r="I32" s="38"/>
      <c r="J32" s="36" t="s">
        <v>38</v>
      </c>
      <c r="K32" s="58">
        <f>K18</f>
        <v>0</v>
      </c>
    </row>
    <row r="33" spans="2:11" ht="11.25" customHeight="1" thickBot="1" x14ac:dyDescent="0.25">
      <c r="B33" s="15" t="s">
        <v>29</v>
      </c>
      <c r="C33" t="s">
        <v>60</v>
      </c>
      <c r="I33" s="133"/>
      <c r="J33" s="36" t="s">
        <v>85</v>
      </c>
      <c r="K33" s="58">
        <f>K23</f>
        <v>0</v>
      </c>
    </row>
    <row r="34" spans="2:11" ht="11.25" customHeight="1" thickBot="1" x14ac:dyDescent="0.25">
      <c r="B34" s="20" t="s">
        <v>61</v>
      </c>
      <c r="C34" s="21" t="s">
        <v>64</v>
      </c>
      <c r="D34" s="21"/>
      <c r="E34" s="21"/>
      <c r="F34" s="21"/>
      <c r="G34" s="21"/>
      <c r="H34" s="21"/>
      <c r="I34" s="39"/>
      <c r="J34" s="24" t="s">
        <v>19</v>
      </c>
      <c r="K34" s="60">
        <f>SUM(K32:K33)</f>
        <v>0</v>
      </c>
    </row>
    <row r="35" spans="2:11" ht="11.25" customHeight="1" thickBot="1" x14ac:dyDescent="0.25">
      <c r="B35" s="22" t="s">
        <v>62</v>
      </c>
      <c r="C35" s="23" t="str">
        <f>IF(AND((K31-K34)&lt;0,K35&lt;&gt;0),"Cash TO Borrower",IF(AND((K31-K34)&gt;0,K35&lt;&gt;0),"Cash FROM Borrower","Cash TO/FROM Borrower"))</f>
        <v>Cash TO/FROM Borrower</v>
      </c>
      <c r="D35" s="23"/>
      <c r="E35" s="23"/>
      <c r="F35" s="23"/>
      <c r="G35" s="23"/>
      <c r="H35" s="23"/>
      <c r="I35" s="40"/>
      <c r="J35" s="167" t="s">
        <v>66</v>
      </c>
      <c r="K35" s="61">
        <f>IF(P3=1,0,IF(AND(P3=3,K5&gt;417000),0,ABS(K31-K34)))</f>
        <v>0</v>
      </c>
    </row>
    <row r="36" spans="2:11" x14ac:dyDescent="0.2">
      <c r="B36" s="129"/>
      <c r="C36" s="128"/>
      <c r="D36" s="2"/>
      <c r="E36" s="2"/>
      <c r="F36" s="2"/>
      <c r="G36" s="2"/>
      <c r="H36" s="2"/>
      <c r="I36" s="127"/>
      <c r="J36" s="9"/>
      <c r="K36" s="132" t="str">
        <f>IF(AND(K5&gt;0,P3=1),"ERROR: Please Select Loan Type Above",IF(AND(P3=3,K5&gt;417000),"NOTE: Cash to borrower not allowed on Specialty High Balance Loans.",""))</f>
        <v/>
      </c>
    </row>
    <row r="37" spans="2:11" x14ac:dyDescent="0.2">
      <c r="B37" s="295"/>
      <c r="C37" s="295"/>
      <c r="D37" s="295"/>
      <c r="E37" s="295"/>
      <c r="F37" s="295"/>
      <c r="G37" s="295"/>
      <c r="H37" s="295"/>
      <c r="I37" s="295"/>
      <c r="J37" s="295"/>
      <c r="K37" s="295"/>
    </row>
    <row r="38" spans="2:11" ht="12.75" x14ac:dyDescent="0.2">
      <c r="B38" s="284" t="s">
        <v>91</v>
      </c>
      <c r="C38" s="285"/>
      <c r="D38" s="285"/>
      <c r="E38" s="285"/>
      <c r="F38" s="42"/>
      <c r="G38" s="286" t="s">
        <v>92</v>
      </c>
      <c r="H38" s="286"/>
      <c r="I38" s="286"/>
      <c r="J38" s="286"/>
      <c r="K38" s="287"/>
    </row>
    <row r="39" spans="2:11" ht="11.25" customHeight="1" x14ac:dyDescent="0.2">
      <c r="B39" s="25"/>
      <c r="C39" s="5"/>
      <c r="D39" s="5"/>
      <c r="E39" s="5"/>
      <c r="F39" s="5"/>
      <c r="G39" s="5"/>
      <c r="H39" s="5"/>
      <c r="I39" s="5"/>
      <c r="J39" s="11"/>
      <c r="K39" s="62"/>
    </row>
    <row r="40" spans="2:11" ht="11.25" customHeight="1" x14ac:dyDescent="0.2">
      <c r="B40" s="25"/>
      <c r="C40" s="5"/>
      <c r="D40" s="5"/>
      <c r="E40" s="5"/>
      <c r="F40" s="5"/>
      <c r="G40" s="5"/>
      <c r="H40" s="5"/>
      <c r="I40" s="5"/>
      <c r="J40" s="11"/>
      <c r="K40" s="62"/>
    </row>
    <row r="41" spans="2:11" ht="11.25" customHeight="1" x14ac:dyDescent="0.2">
      <c r="B41" s="25"/>
      <c r="C41" s="5"/>
      <c r="D41" s="5"/>
      <c r="E41" s="5"/>
      <c r="F41" s="5"/>
      <c r="G41" s="5"/>
      <c r="H41" s="5"/>
      <c r="I41" s="5"/>
      <c r="J41" s="11"/>
      <c r="K41" s="62"/>
    </row>
    <row r="42" spans="2:11" ht="11.25" customHeight="1" x14ac:dyDescent="0.2">
      <c r="B42" s="25"/>
      <c r="C42" s="5"/>
      <c r="D42" s="5"/>
      <c r="E42" s="5"/>
      <c r="F42" s="5"/>
      <c r="G42" s="5"/>
      <c r="H42" s="5"/>
      <c r="I42" s="5"/>
      <c r="J42" s="11"/>
      <c r="K42" s="62"/>
    </row>
    <row r="43" spans="2:11" ht="11.25" customHeight="1" x14ac:dyDescent="0.2">
      <c r="B43" s="25"/>
      <c r="C43" s="5"/>
      <c r="D43" s="5"/>
      <c r="E43" s="5"/>
      <c r="F43" s="5"/>
      <c r="G43" s="5"/>
      <c r="H43" s="5"/>
      <c r="I43" s="5"/>
      <c r="J43" s="11"/>
      <c r="K43" s="62"/>
    </row>
    <row r="44" spans="2:11" ht="11.25" customHeight="1" x14ac:dyDescent="0.2">
      <c r="B44" s="25"/>
      <c r="C44" s="5"/>
      <c r="D44" s="5"/>
      <c r="E44" s="5"/>
      <c r="F44" s="5"/>
      <c r="G44" s="5"/>
      <c r="H44" s="5"/>
      <c r="I44" s="5"/>
      <c r="J44" s="11"/>
      <c r="K44" s="62"/>
    </row>
    <row r="45" spans="2:11" ht="11.25" customHeight="1" x14ac:dyDescent="0.2">
      <c r="B45" s="25"/>
      <c r="C45" s="5"/>
      <c r="D45" s="5"/>
      <c r="E45" s="5"/>
      <c r="F45" s="5"/>
      <c r="G45" s="5"/>
      <c r="H45" s="5"/>
      <c r="I45" s="5"/>
      <c r="J45" s="11"/>
      <c r="K45" s="62"/>
    </row>
    <row r="46" spans="2:11" ht="11.25" customHeight="1" x14ac:dyDescent="0.2">
      <c r="B46" s="25"/>
      <c r="C46" s="5"/>
      <c r="D46" s="5"/>
      <c r="E46" s="5"/>
      <c r="F46" s="5"/>
      <c r="G46" s="5"/>
      <c r="H46" s="5"/>
      <c r="I46" s="5"/>
      <c r="J46" s="11"/>
      <c r="K46" s="62"/>
    </row>
    <row r="47" spans="2:11" ht="11.25" customHeight="1" x14ac:dyDescent="0.2">
      <c r="B47" s="25"/>
      <c r="C47" s="5"/>
      <c r="D47" s="5"/>
      <c r="E47" s="5"/>
      <c r="F47" s="5"/>
      <c r="G47" s="5"/>
      <c r="H47" s="5"/>
      <c r="I47" s="5"/>
      <c r="J47" s="11"/>
      <c r="K47" s="62"/>
    </row>
    <row r="48" spans="2:11" ht="11.25" customHeight="1" x14ac:dyDescent="0.2">
      <c r="B48" s="25"/>
      <c r="C48" s="4" t="s">
        <v>75</v>
      </c>
      <c r="D48" s="5"/>
      <c r="E48" s="5"/>
      <c r="F48" s="5"/>
      <c r="G48" s="5"/>
      <c r="H48" s="5"/>
      <c r="I48" s="5"/>
      <c r="J48" s="11"/>
      <c r="K48" s="62"/>
    </row>
    <row r="49" spans="2:11" ht="11.25" customHeight="1" x14ac:dyDescent="0.2">
      <c r="B49" s="25"/>
      <c r="C49" s="13" t="s">
        <v>76</v>
      </c>
      <c r="D49" s="5"/>
      <c r="E49" s="5"/>
      <c r="F49" s="5"/>
      <c r="G49" s="5"/>
      <c r="H49" s="5"/>
      <c r="I49" s="5"/>
      <c r="J49" s="11"/>
      <c r="K49" s="62"/>
    </row>
    <row r="50" spans="2:11" ht="11.25" customHeight="1" x14ac:dyDescent="0.2">
      <c r="B50" s="25"/>
      <c r="C50" s="13" t="s">
        <v>77</v>
      </c>
      <c r="D50" s="5"/>
      <c r="E50" s="5"/>
      <c r="F50" s="5"/>
      <c r="G50" s="5"/>
      <c r="H50" s="5"/>
      <c r="I50" s="5"/>
      <c r="J50" s="11"/>
      <c r="K50" s="62"/>
    </row>
    <row r="51" spans="2:11" ht="11.25" customHeight="1" x14ac:dyDescent="0.2">
      <c r="B51" s="25"/>
      <c r="C51" s="13" t="s">
        <v>78</v>
      </c>
      <c r="D51" s="5"/>
      <c r="E51" s="5"/>
      <c r="F51" s="5"/>
      <c r="G51" s="5"/>
      <c r="H51" s="5"/>
      <c r="I51" s="5"/>
      <c r="J51" s="11"/>
      <c r="K51" s="62"/>
    </row>
    <row r="52" spans="2:11" ht="11.25" customHeight="1" x14ac:dyDescent="0.2">
      <c r="B52" s="25"/>
      <c r="C52" s="30" t="s">
        <v>79</v>
      </c>
      <c r="D52" s="5"/>
      <c r="E52" s="5"/>
      <c r="F52" s="5"/>
      <c r="G52" s="5"/>
      <c r="H52" s="5"/>
      <c r="I52" s="5"/>
      <c r="J52" s="11"/>
      <c r="K52" s="62"/>
    </row>
    <row r="53" spans="2:11" ht="11.25" customHeight="1" x14ac:dyDescent="0.2">
      <c r="B53" s="25"/>
      <c r="C53" s="13" t="s">
        <v>80</v>
      </c>
      <c r="D53" s="5"/>
      <c r="E53" s="5"/>
      <c r="F53" s="5"/>
      <c r="G53" s="5"/>
      <c r="H53" s="5"/>
      <c r="I53" s="5"/>
      <c r="J53" s="11"/>
      <c r="K53" s="62"/>
    </row>
    <row r="54" spans="2:11" ht="11.25" customHeight="1" x14ac:dyDescent="0.2">
      <c r="B54" s="26"/>
      <c r="C54" s="27"/>
      <c r="D54" s="27"/>
      <c r="E54" s="27"/>
      <c r="F54" s="27"/>
      <c r="G54" s="27"/>
      <c r="H54" s="27"/>
      <c r="I54" s="27"/>
      <c r="J54" s="28"/>
      <c r="K54" s="63"/>
    </row>
    <row r="55" spans="2:11" ht="11.25" customHeight="1" x14ac:dyDescent="0.2"/>
    <row r="56" spans="2:11" ht="11.25" customHeight="1" x14ac:dyDescent="0.2">
      <c r="B56" s="283" t="s">
        <v>93</v>
      </c>
      <c r="C56" s="283"/>
      <c r="D56" s="283"/>
      <c r="E56" s="283"/>
      <c r="F56" s="283"/>
      <c r="G56" s="283"/>
      <c r="H56" s="283"/>
      <c r="I56" s="283"/>
      <c r="J56" s="283"/>
      <c r="K56" s="283"/>
    </row>
    <row r="57" spans="2:11" ht="11.25" customHeight="1" x14ac:dyDescent="0.2">
      <c r="B57" s="283"/>
      <c r="C57" s="283"/>
      <c r="D57" s="283"/>
      <c r="E57" s="283"/>
      <c r="F57" s="283"/>
      <c r="G57" s="283"/>
      <c r="H57" s="283"/>
      <c r="I57" s="283"/>
      <c r="J57" s="283"/>
      <c r="K57" s="283"/>
    </row>
    <row r="58" spans="2:11" ht="11.25" customHeight="1" x14ac:dyDescent="0.2">
      <c r="B58" s="283"/>
      <c r="C58" s="283"/>
      <c r="D58" s="283"/>
      <c r="E58" s="283"/>
      <c r="F58" s="283"/>
      <c r="G58" s="283"/>
      <c r="H58" s="283"/>
      <c r="I58" s="283"/>
      <c r="J58" s="283"/>
      <c r="K58" s="283"/>
    </row>
    <row r="59" spans="2:11" ht="11.25" customHeight="1" x14ac:dyDescent="0.2">
      <c r="B59" s="283"/>
      <c r="C59" s="283"/>
      <c r="D59" s="283"/>
      <c r="E59" s="283"/>
      <c r="F59" s="283"/>
      <c r="G59" s="283"/>
      <c r="H59" s="283"/>
      <c r="I59" s="283"/>
      <c r="J59" s="283"/>
      <c r="K59" s="283"/>
    </row>
    <row r="60" spans="2:11" ht="11.25" customHeight="1" x14ac:dyDescent="0.2">
      <c r="B60" s="283"/>
      <c r="C60" s="283"/>
      <c r="D60" s="283"/>
      <c r="E60" s="283"/>
      <c r="F60" s="283"/>
      <c r="G60" s="283"/>
      <c r="H60" s="283"/>
      <c r="I60" s="283"/>
      <c r="J60" s="283"/>
      <c r="K60" s="283"/>
    </row>
    <row r="61" spans="2:11" x14ac:dyDescent="0.2">
      <c r="B61" s="283"/>
      <c r="C61" s="283"/>
      <c r="D61" s="283"/>
      <c r="E61" s="283"/>
      <c r="F61" s="283"/>
      <c r="G61" s="283"/>
      <c r="H61" s="283"/>
      <c r="I61" s="283"/>
      <c r="J61" s="283"/>
      <c r="K61" s="283"/>
    </row>
    <row r="62" spans="2:11" x14ac:dyDescent="0.2">
      <c r="B62" s="283"/>
      <c r="C62" s="283"/>
      <c r="D62" s="283"/>
      <c r="E62" s="283"/>
      <c r="F62" s="283"/>
      <c r="G62" s="283"/>
      <c r="H62" s="283"/>
      <c r="I62" s="283"/>
      <c r="J62" s="283"/>
      <c r="K62" s="283"/>
    </row>
    <row r="63" spans="2:11" x14ac:dyDescent="0.2">
      <c r="B63" s="283"/>
      <c r="C63" s="283"/>
      <c r="D63" s="283"/>
      <c r="E63" s="283"/>
      <c r="F63" s="283"/>
      <c r="G63" s="283"/>
      <c r="H63" s="283"/>
      <c r="I63" s="283"/>
      <c r="J63" s="283"/>
      <c r="K63" s="283"/>
    </row>
    <row r="64" spans="2:11" x14ac:dyDescent="0.2">
      <c r="B64" s="283"/>
      <c r="C64" s="283"/>
      <c r="D64" s="283"/>
      <c r="E64" s="283"/>
      <c r="F64" s="283"/>
      <c r="G64" s="283"/>
      <c r="H64" s="283"/>
      <c r="I64" s="283"/>
      <c r="J64" s="283"/>
      <c r="K64" s="283"/>
    </row>
  </sheetData>
  <sheetProtection password="D045" sheet="1" objects="1" scenarios="1" selectLockedCells="1"/>
  <mergeCells count="12">
    <mergeCell ref="B56:K64"/>
    <mergeCell ref="B38:E38"/>
    <mergeCell ref="G38:K38"/>
    <mergeCell ref="B26:K26"/>
    <mergeCell ref="B1:K1"/>
    <mergeCell ref="C24:E24"/>
    <mergeCell ref="B4:K4"/>
    <mergeCell ref="B7:K7"/>
    <mergeCell ref="B14:K14"/>
    <mergeCell ref="B16:K16"/>
    <mergeCell ref="B2:K2"/>
    <mergeCell ref="B37:K37"/>
  </mergeCells>
  <phoneticPr fontId="0" type="noConversion"/>
  <conditionalFormatting sqref="C35 B36">
    <cfRule type="cellIs" dxfId="2" priority="3" stopIfTrue="1" operator="equal">
      <formula>"Cash TO/FROM Borrower"</formula>
    </cfRule>
    <cfRule type="cellIs" dxfId="1" priority="4" stopIfTrue="1" operator="equal">
      <formula>"Cash TO Borrower"</formula>
    </cfRule>
    <cfRule type="cellIs" dxfId="0" priority="5" stopIfTrue="1" operator="equal">
      <formula>"Cash FROM Borrower"</formula>
    </cfRule>
  </conditionalFormatting>
  <dataValidations count="6">
    <dataValidation type="decimal" operator="greaterThan" allowBlank="1" showInputMessage="1" showErrorMessage="1" errorTitle="Error" error="Appraised value must be &gt; $0.00" sqref="K5">
      <formula1>0</formula1>
    </dataValidation>
    <dataValidation type="whole" operator="greaterThan" allowBlank="1" showInputMessage="1" showErrorMessage="1" errorTitle="Error" error="County limit must be a whole number &gt; $0" sqref="K8">
      <formula1>0</formula1>
    </dataValidation>
    <dataValidation type="decimal" operator="greaterThanOrEqual" allowBlank="1" showInputMessage="1" showErrorMessage="1" errorTitle="Error" error="Previously Used Entitlement must be &gt;= $0.00" sqref="K11">
      <formula1>0</formula1>
    </dataValidation>
    <dataValidation type="decimal" operator="greaterThan" allowBlank="1" showInputMessage="1" showErrorMessage="1" errorTitle="Error" error="Payoff must be &gt; $1.00" sqref="K27">
      <formula1>1</formula1>
    </dataValidation>
    <dataValidation type="decimal" operator="greaterThanOrEqual" allowBlank="1" showInputMessage="1" showErrorMessage="1" errorTitle="Error" error="Must be &gt;=$0.00" sqref="K28:K29">
      <formula1>0</formula1>
    </dataValidation>
    <dataValidation type="decimal" operator="greaterThan" allowBlank="1" showInputMessage="1" showErrorMessage="1" sqref="E21:E23">
      <formula1>0</formula1>
    </dataValidation>
  </dataValidations>
  <hyperlinks>
    <hyperlink ref="G38:K38" r:id="rId1" display="Circular 26-11-19 (Nov 22, 2011)"/>
  </hyperlinks>
  <printOptions horizontalCentered="1"/>
  <pageMargins left="0.75" right="0.75" top="1" bottom="1" header="0.5" footer="0.5"/>
  <pageSetup scale="7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 r:id="rId5" name="Drop Down 1">
              <controlPr defaultSize="0" autoLine="0" autoPict="0">
                <anchor moveWithCells="1">
                  <from>
                    <xdr:col>8</xdr:col>
                    <xdr:colOff>1057275</xdr:colOff>
                    <xdr:row>8</xdr:row>
                    <xdr:rowOff>47625</xdr:rowOff>
                  </from>
                  <to>
                    <xdr:col>10</xdr:col>
                    <xdr:colOff>1095375</xdr:colOff>
                    <xdr:row>8</xdr:row>
                    <xdr:rowOff>228600</xdr:rowOff>
                  </to>
                </anchor>
              </controlPr>
            </control>
          </mc:Choice>
        </mc:AlternateContent>
        <mc:AlternateContent xmlns:mc="http://schemas.openxmlformats.org/markup-compatibility/2006">
          <mc:Choice Requires="x14">
            <control shapeId="2055" r:id="rId6" name="Drop Down 7">
              <controlPr locked="0" defaultSize="0" autoLine="0" autoPict="0">
                <anchor moveWithCells="1">
                  <from>
                    <xdr:col>8</xdr:col>
                    <xdr:colOff>1057275</xdr:colOff>
                    <xdr:row>2</xdr:row>
                    <xdr:rowOff>47625</xdr:rowOff>
                  </from>
                  <to>
                    <xdr:col>10</xdr:col>
                    <xdr:colOff>1095375</xdr:colOff>
                    <xdr:row>2</xdr:row>
                    <xdr:rowOff>228600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2</xdr:col>
                    <xdr:colOff>0</xdr:colOff>
                    <xdr:row>19</xdr:row>
                    <xdr:rowOff>142875</xdr:rowOff>
                  </from>
                  <to>
                    <xdr:col>2</xdr:col>
                    <xdr:colOff>209550</xdr:colOff>
                    <xdr:row>20</xdr:row>
                    <xdr:rowOff>133350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xdr:col>
                    <xdr:colOff>142875</xdr:colOff>
                    <xdr:row>20</xdr:row>
                    <xdr:rowOff>142875</xdr:rowOff>
                  </from>
                  <to>
                    <xdr:col>2</xdr:col>
                    <xdr:colOff>238125</xdr:colOff>
                    <xdr:row>22</xdr:row>
                    <xdr:rowOff>9525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2</xdr:col>
                    <xdr:colOff>0</xdr:colOff>
                    <xdr:row>19</xdr:row>
                    <xdr:rowOff>0</xdr:rowOff>
                  </from>
                  <to>
                    <xdr:col>2</xdr:col>
                    <xdr:colOff>209550</xdr:colOff>
                    <xdr:row>19</xdr:row>
                    <xdr:rowOff>133350</xdr:rowOff>
                  </to>
                </anchor>
              </controlPr>
            </control>
          </mc:Choice>
        </mc:AlternateContent>
        <mc:AlternateContent xmlns:mc="http://schemas.openxmlformats.org/markup-compatibility/2006">
          <mc:Choice Requires="x14">
            <control shapeId="2060" r:id="rId10" name="Button 12">
              <controlPr defaultSize="0" print="0" autoFill="0" autoPict="0" macro="[0]!ClearCashOut">
                <anchor moveWithCells="1" sizeWithCells="1">
                  <from>
                    <xdr:col>11</xdr:col>
                    <xdr:colOff>180975</xdr:colOff>
                    <xdr:row>1</xdr:row>
                    <xdr:rowOff>28575</xdr:rowOff>
                  </from>
                  <to>
                    <xdr:col>16</xdr:col>
                    <xdr:colOff>47625</xdr:colOff>
                    <xdr:row>2</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N234"/>
  <sheetViews>
    <sheetView topLeftCell="G198" workbookViewId="0">
      <selection activeCell="H222" sqref="H222:I222"/>
    </sheetView>
  </sheetViews>
  <sheetFormatPr defaultRowHeight="12.75" x14ac:dyDescent="0.2"/>
  <cols>
    <col min="1" max="2" width="37" style="172" hidden="1" customWidth="1"/>
    <col min="3" max="4" width="0" style="172" hidden="1" customWidth="1"/>
    <col min="5" max="5" width="6.5" style="172" hidden="1" customWidth="1"/>
    <col min="6" max="6" width="9.33203125" style="172" hidden="1" customWidth="1"/>
    <col min="7" max="7" width="13.83203125" style="172" bestFit="1" customWidth="1"/>
    <col min="8" max="8" width="59" style="172" customWidth="1"/>
    <col min="9" max="9" width="18.83203125" style="172" bestFit="1" customWidth="1"/>
    <col min="10" max="10" width="21.1640625" style="172" bestFit="1" customWidth="1"/>
    <col min="11" max="11" width="9.33203125" style="172"/>
    <col min="12" max="12" width="15.83203125" style="172" bestFit="1" customWidth="1"/>
    <col min="13" max="13" width="13.83203125" style="172" bestFit="1" customWidth="1"/>
    <col min="14" max="14" width="10.6640625" style="172" bestFit="1" customWidth="1"/>
    <col min="15" max="16384" width="9.33203125" style="172"/>
  </cols>
  <sheetData>
    <row r="2" spans="1:14" x14ac:dyDescent="0.2">
      <c r="A2" s="172" t="s">
        <v>94</v>
      </c>
    </row>
    <row r="3" spans="1:14" x14ac:dyDescent="0.2">
      <c r="A3" s="172" t="s">
        <v>95</v>
      </c>
    </row>
    <row r="4" spans="1:14" x14ac:dyDescent="0.2">
      <c r="A4" s="172" t="s">
        <v>96</v>
      </c>
      <c r="G4" s="173" t="s">
        <v>250</v>
      </c>
      <c r="H4" s="173" t="s">
        <v>234</v>
      </c>
      <c r="I4" s="173" t="s">
        <v>444</v>
      </c>
      <c r="J4" s="173" t="s">
        <v>226</v>
      </c>
      <c r="M4" s="173" t="s">
        <v>250</v>
      </c>
      <c r="N4" s="173" t="s">
        <v>355</v>
      </c>
    </row>
    <row r="5" spans="1:14" x14ac:dyDescent="0.2">
      <c r="G5" s="172">
        <v>1</v>
      </c>
      <c r="H5" s="172" t="s">
        <v>251</v>
      </c>
      <c r="I5" s="174">
        <v>417000</v>
      </c>
      <c r="J5" s="175" t="s">
        <v>233</v>
      </c>
      <c r="M5" s="172">
        <v>1</v>
      </c>
      <c r="N5" s="183" t="s">
        <v>456</v>
      </c>
    </row>
    <row r="6" spans="1:14" x14ac:dyDescent="0.2">
      <c r="A6" s="172" t="s">
        <v>97</v>
      </c>
      <c r="B6" s="175" t="str">
        <f>MID($A6,FIND(CHAR(22),SUBSTITUTE($A6," ",CHAR(22),1))+1,FIND(CHAR(22),SUBSTITUTE($A6," ",CHAR(22),LEN($A6)-LEN(SUBSTITUTE($A6," ",""))-2))+1)</f>
        <v>ALEUTIANS EAST</v>
      </c>
      <c r="C6" s="175" t="str">
        <f>MID($A6,FIND(CHAR(22),SUBSTITUTE($A6," ",CHAR(22),LEN($A6)-LEN(SUBSTITUTE($A6," ",""))-1))+1,255)</f>
        <v>625,500 DENVER</v>
      </c>
      <c r="G6" s="172">
        <v>2</v>
      </c>
      <c r="H6" s="172" t="s">
        <v>235</v>
      </c>
      <c r="I6" s="174">
        <v>625500</v>
      </c>
      <c r="J6" s="175" t="s">
        <v>227</v>
      </c>
      <c r="M6" s="172">
        <v>2</v>
      </c>
      <c r="N6" s="172" t="s">
        <v>452</v>
      </c>
    </row>
    <row r="7" spans="1:14" x14ac:dyDescent="0.2">
      <c r="A7" s="172" t="s">
        <v>98</v>
      </c>
      <c r="B7" s="175" t="str">
        <f t="shared" ref="B7:B84" si="0">MID($A7,FIND(CHAR(22),SUBSTITUTE($A7," ",CHAR(22),1))+1,FIND(CHAR(22),SUBSTITUTE($A7," ",CHAR(22),LEN($A7)-LEN(SUBSTITUTE($A7," ",""))-2))+1)</f>
        <v>ALEUTIANS WEST</v>
      </c>
      <c r="C7" s="175" t="str">
        <f>MID($A7,FIND(CHAR(22),SUBSTITUTE($A7," ",CHAR(22),LEN($A7)-LEN(SUBSTITUTE($A7," ",""))-1))+1,255)</f>
        <v>625,500 DENVER</v>
      </c>
      <c r="G7" s="172">
        <v>3</v>
      </c>
      <c r="H7" s="172" t="s">
        <v>236</v>
      </c>
      <c r="I7" s="174">
        <v>625500</v>
      </c>
      <c r="J7" s="175" t="s">
        <v>227</v>
      </c>
      <c r="M7" s="172">
        <v>3</v>
      </c>
      <c r="N7" s="172" t="s">
        <v>453</v>
      </c>
    </row>
    <row r="8" spans="1:14" x14ac:dyDescent="0.2">
      <c r="A8" s="172" t="s">
        <v>99</v>
      </c>
      <c r="B8" s="175" t="str">
        <f t="shared" si="0"/>
        <v>ANCH</v>
      </c>
      <c r="C8" s="175" t="str">
        <f t="shared" ref="C8:C85" si="1">MID($A8,FIND(CHAR(22),SUBSTITUTE($A8," ",CHAR(22),LEN($A8)-LEN(SUBSTITUTE($A8," ",""))-1))+1,255)</f>
        <v>625,500 DENVER</v>
      </c>
      <c r="G8" s="172">
        <v>4</v>
      </c>
      <c r="H8" s="172" t="s">
        <v>439</v>
      </c>
      <c r="I8" s="174">
        <v>625500</v>
      </c>
      <c r="J8" s="175" t="s">
        <v>227</v>
      </c>
    </row>
    <row r="9" spans="1:14" x14ac:dyDescent="0.2">
      <c r="A9" s="172" t="s">
        <v>100</v>
      </c>
      <c r="B9" s="175" t="str">
        <f t="shared" si="0"/>
        <v>BETH</v>
      </c>
      <c r="C9" s="175" t="str">
        <f t="shared" si="1"/>
        <v>625,500 DENVER</v>
      </c>
      <c r="G9" s="172">
        <v>5</v>
      </c>
      <c r="H9" s="172" t="s">
        <v>347</v>
      </c>
      <c r="I9" s="174">
        <v>625500</v>
      </c>
      <c r="J9" s="175" t="s">
        <v>227</v>
      </c>
    </row>
    <row r="10" spans="1:14" x14ac:dyDescent="0.2">
      <c r="A10" s="172" t="s">
        <v>101</v>
      </c>
      <c r="B10" s="175" t="str">
        <f t="shared" si="0"/>
        <v xml:space="preserve">BRISTOL BAY </v>
      </c>
      <c r="C10" s="175" t="str">
        <f t="shared" si="1"/>
        <v>625,500 DENVER</v>
      </c>
      <c r="G10" s="172">
        <v>6</v>
      </c>
      <c r="H10" s="172" t="s">
        <v>237</v>
      </c>
      <c r="I10" s="174">
        <v>625500</v>
      </c>
      <c r="J10" s="175" t="s">
        <v>227</v>
      </c>
    </row>
    <row r="11" spans="1:14" x14ac:dyDescent="0.2">
      <c r="A11" s="172" t="s">
        <v>102</v>
      </c>
      <c r="B11" s="175" t="str">
        <f t="shared" si="0"/>
        <v>DENA</v>
      </c>
      <c r="C11" s="175" t="str">
        <f t="shared" si="1"/>
        <v>625,500 DENVER</v>
      </c>
      <c r="G11" s="172">
        <v>7</v>
      </c>
      <c r="H11" s="172" t="s">
        <v>348</v>
      </c>
      <c r="I11" s="174">
        <v>625500</v>
      </c>
      <c r="J11" s="175" t="s">
        <v>227</v>
      </c>
    </row>
    <row r="12" spans="1:14" x14ac:dyDescent="0.2">
      <c r="A12" s="172" t="s">
        <v>103</v>
      </c>
      <c r="B12" s="175" t="str">
        <f t="shared" si="0"/>
        <v>DILL</v>
      </c>
      <c r="C12" s="175" t="str">
        <f t="shared" si="1"/>
        <v>625,500 DENVER</v>
      </c>
      <c r="G12" s="172">
        <v>8</v>
      </c>
      <c r="H12" s="172" t="s">
        <v>349</v>
      </c>
      <c r="I12" s="174">
        <v>625500</v>
      </c>
      <c r="J12" s="175" t="s">
        <v>227</v>
      </c>
    </row>
    <row r="13" spans="1:14" x14ac:dyDescent="0.2">
      <c r="A13" s="172" t="s">
        <v>104</v>
      </c>
      <c r="B13" s="175" t="str">
        <f t="shared" si="0"/>
        <v>FAIRBANKS NORT</v>
      </c>
      <c r="C13" s="175" t="str">
        <f t="shared" si="1"/>
        <v>625,500 DENVER</v>
      </c>
      <c r="G13" s="172">
        <v>9</v>
      </c>
      <c r="H13" s="172" t="s">
        <v>252</v>
      </c>
      <c r="I13" s="174">
        <v>625500</v>
      </c>
      <c r="J13" s="175" t="s">
        <v>227</v>
      </c>
    </row>
    <row r="14" spans="1:14" x14ac:dyDescent="0.2">
      <c r="A14" s="172" t="s">
        <v>105</v>
      </c>
      <c r="B14" s="175" t="str">
        <f t="shared" si="0"/>
        <v>HAIN</v>
      </c>
      <c r="C14" s="175" t="str">
        <f t="shared" si="1"/>
        <v>625,500 DENVER</v>
      </c>
      <c r="G14" s="172">
        <v>10</v>
      </c>
      <c r="H14" s="172" t="s">
        <v>350</v>
      </c>
      <c r="I14" s="174">
        <v>625500</v>
      </c>
      <c r="J14" s="175" t="s">
        <v>227</v>
      </c>
    </row>
    <row r="15" spans="1:14" x14ac:dyDescent="0.2">
      <c r="A15" s="172" t="s">
        <v>106</v>
      </c>
      <c r="B15" s="175" t="str">
        <f t="shared" si="0"/>
        <v>HOONAH-ANGOON C 62</v>
      </c>
      <c r="C15" s="175" t="str">
        <f t="shared" si="1"/>
        <v>625,500 DENVER</v>
      </c>
      <c r="G15" s="172">
        <v>11</v>
      </c>
      <c r="H15" s="172" t="s">
        <v>258</v>
      </c>
      <c r="I15" s="174">
        <v>625500</v>
      </c>
      <c r="J15" s="175" t="s">
        <v>227</v>
      </c>
    </row>
    <row r="16" spans="1:14" x14ac:dyDescent="0.2">
      <c r="A16" s="172" t="s">
        <v>107</v>
      </c>
      <c r="B16" s="175" t="str">
        <f t="shared" si="0"/>
        <v>JUNE</v>
      </c>
      <c r="C16" s="175" t="str">
        <f t="shared" si="1"/>
        <v>625,500 DENVER</v>
      </c>
      <c r="G16" s="172">
        <v>12</v>
      </c>
      <c r="H16" s="172" t="s">
        <v>351</v>
      </c>
      <c r="I16" s="174">
        <v>625500</v>
      </c>
      <c r="J16" s="175" t="s">
        <v>227</v>
      </c>
    </row>
    <row r="17" spans="1:10" x14ac:dyDescent="0.2">
      <c r="A17" s="172" t="s">
        <v>108</v>
      </c>
      <c r="B17" s="175" t="str">
        <f t="shared" si="0"/>
        <v>KENAI PENI</v>
      </c>
      <c r="C17" s="175" t="str">
        <f t="shared" si="1"/>
        <v>625,500 DENVER</v>
      </c>
      <c r="G17" s="172">
        <v>13</v>
      </c>
      <c r="H17" s="172" t="s">
        <v>253</v>
      </c>
      <c r="I17" s="174">
        <v>625500</v>
      </c>
      <c r="J17" s="175" t="s">
        <v>227</v>
      </c>
    </row>
    <row r="18" spans="1:10" x14ac:dyDescent="0.2">
      <c r="A18" s="172" t="s">
        <v>109</v>
      </c>
      <c r="B18" s="175" t="str">
        <f t="shared" si="0"/>
        <v>KETCHIKAN GATE</v>
      </c>
      <c r="C18" s="175" t="str">
        <f t="shared" si="1"/>
        <v>625,500 DENVER</v>
      </c>
      <c r="G18" s="172">
        <v>14</v>
      </c>
      <c r="H18" s="172" t="s">
        <v>254</v>
      </c>
      <c r="I18" s="174">
        <v>625500</v>
      </c>
      <c r="J18" s="175" t="s">
        <v>227</v>
      </c>
    </row>
    <row r="19" spans="1:10" x14ac:dyDescent="0.2">
      <c r="A19" s="172" t="s">
        <v>110</v>
      </c>
      <c r="B19" s="175" t="str">
        <f t="shared" si="0"/>
        <v>KODIAK ISLA</v>
      </c>
      <c r="C19" s="175" t="str">
        <f t="shared" si="1"/>
        <v>625,500 DENVER</v>
      </c>
      <c r="G19" s="172">
        <v>15</v>
      </c>
      <c r="H19" s="172" t="s">
        <v>255</v>
      </c>
      <c r="I19" s="174">
        <v>625500</v>
      </c>
      <c r="J19" s="175" t="s">
        <v>227</v>
      </c>
    </row>
    <row r="20" spans="1:10" x14ac:dyDescent="0.2">
      <c r="A20" s="172" t="s">
        <v>111</v>
      </c>
      <c r="B20" s="175" t="str">
        <f t="shared" si="0"/>
        <v>LAKE AND PENI</v>
      </c>
      <c r="C20" s="175" t="str">
        <f t="shared" si="1"/>
        <v>625,500 DENVER</v>
      </c>
      <c r="G20" s="172">
        <v>16</v>
      </c>
      <c r="H20" s="172" t="s">
        <v>256</v>
      </c>
      <c r="I20" s="174">
        <v>625500</v>
      </c>
      <c r="J20" s="175" t="s">
        <v>227</v>
      </c>
    </row>
    <row r="21" spans="1:10" x14ac:dyDescent="0.2">
      <c r="A21" s="172" t="s">
        <v>112</v>
      </c>
      <c r="B21" s="175" t="str">
        <f t="shared" si="0"/>
        <v>MATA</v>
      </c>
      <c r="C21" s="175" t="str">
        <f t="shared" si="1"/>
        <v>625,500 DENVER</v>
      </c>
      <c r="G21" s="172">
        <v>17</v>
      </c>
      <c r="H21" s="172" t="s">
        <v>259</v>
      </c>
      <c r="I21" s="174">
        <v>625500</v>
      </c>
      <c r="J21" s="175" t="s">
        <v>227</v>
      </c>
    </row>
    <row r="22" spans="1:10" x14ac:dyDescent="0.2">
      <c r="A22" s="172" t="s">
        <v>113</v>
      </c>
      <c r="B22" s="175" t="str">
        <f t="shared" si="0"/>
        <v>NOME</v>
      </c>
      <c r="C22" s="175" t="str">
        <f t="shared" si="1"/>
        <v>625,500 DENVER</v>
      </c>
      <c r="G22" s="172">
        <v>18</v>
      </c>
      <c r="H22" s="172" t="s">
        <v>238</v>
      </c>
      <c r="I22" s="174">
        <v>625500</v>
      </c>
      <c r="J22" s="175" t="s">
        <v>227</v>
      </c>
    </row>
    <row r="23" spans="1:10" x14ac:dyDescent="0.2">
      <c r="A23" s="172" t="s">
        <v>114</v>
      </c>
      <c r="B23" s="175" t="str">
        <f t="shared" si="0"/>
        <v>NORTH SLOP</v>
      </c>
      <c r="C23" s="175" t="str">
        <f t="shared" si="1"/>
        <v>625,500 DENVER</v>
      </c>
      <c r="G23" s="172">
        <v>19</v>
      </c>
      <c r="H23" s="172" t="s">
        <v>257</v>
      </c>
      <c r="I23" s="174">
        <v>625500</v>
      </c>
      <c r="J23" s="175" t="s">
        <v>227</v>
      </c>
    </row>
    <row r="24" spans="1:10" x14ac:dyDescent="0.2">
      <c r="A24" s="172" t="s">
        <v>115</v>
      </c>
      <c r="B24" s="175" t="str">
        <f t="shared" si="0"/>
        <v>NORTHWEST ARCT</v>
      </c>
      <c r="C24" s="175" t="str">
        <f t="shared" si="1"/>
        <v>625,500 DENVER</v>
      </c>
      <c r="G24" s="172">
        <v>20</v>
      </c>
      <c r="H24" s="172" t="s">
        <v>260</v>
      </c>
      <c r="I24" s="174">
        <v>625500</v>
      </c>
      <c r="J24" s="175" t="s">
        <v>227</v>
      </c>
    </row>
    <row r="25" spans="1:10" x14ac:dyDescent="0.2">
      <c r="A25" s="172" t="s">
        <v>116</v>
      </c>
      <c r="B25" s="175" t="str">
        <f t="shared" si="0"/>
        <v>PETERSBURG CENS</v>
      </c>
      <c r="C25" s="175" t="str">
        <f t="shared" si="1"/>
        <v>625,500 DENVER</v>
      </c>
      <c r="G25" s="172">
        <v>21</v>
      </c>
      <c r="H25" s="172" t="s">
        <v>261</v>
      </c>
      <c r="I25" s="174">
        <v>625500</v>
      </c>
      <c r="J25" s="175" t="s">
        <v>227</v>
      </c>
    </row>
    <row r="26" spans="1:10" x14ac:dyDescent="0.2">
      <c r="A26" s="172" t="s">
        <v>117</v>
      </c>
      <c r="B26" s="175" t="str">
        <f t="shared" si="0"/>
        <v>PRINCE OF WALE</v>
      </c>
      <c r="C26" s="175" t="str">
        <f t="shared" si="1"/>
        <v>625,500 DENVER</v>
      </c>
      <c r="G26" s="172">
        <v>22</v>
      </c>
      <c r="H26" s="172" t="s">
        <v>353</v>
      </c>
      <c r="I26" s="174">
        <v>625500</v>
      </c>
      <c r="J26" s="175" t="s">
        <v>227</v>
      </c>
    </row>
    <row r="27" spans="1:10" x14ac:dyDescent="0.2">
      <c r="A27" s="172" t="s">
        <v>118</v>
      </c>
      <c r="B27" s="175" t="str">
        <f t="shared" si="0"/>
        <v>SITK</v>
      </c>
      <c r="C27" s="175" t="str">
        <f t="shared" si="1"/>
        <v>625,500 DENVER</v>
      </c>
      <c r="G27" s="172">
        <v>23</v>
      </c>
      <c r="H27" s="172" t="s">
        <v>262</v>
      </c>
      <c r="I27" s="174">
        <v>625500</v>
      </c>
      <c r="J27" s="175" t="s">
        <v>227</v>
      </c>
    </row>
    <row r="28" spans="1:10" x14ac:dyDescent="0.2">
      <c r="A28" s="172" t="s">
        <v>119</v>
      </c>
      <c r="B28" s="175" t="str">
        <f t="shared" si="0"/>
        <v>SKAGWAY MUNI</v>
      </c>
      <c r="C28" s="175" t="str">
        <f t="shared" si="1"/>
        <v>625,500 DENVER</v>
      </c>
      <c r="G28" s="172">
        <v>24</v>
      </c>
      <c r="H28" s="172" t="s">
        <v>263</v>
      </c>
      <c r="I28" s="174">
        <v>625500</v>
      </c>
      <c r="J28" s="175" t="s">
        <v>227</v>
      </c>
    </row>
    <row r="29" spans="1:10" x14ac:dyDescent="0.2">
      <c r="A29" s="172" t="s">
        <v>120</v>
      </c>
      <c r="B29" s="175" t="str">
        <f t="shared" si="0"/>
        <v>SOUTHEAST FAIR</v>
      </c>
      <c r="C29" s="175" t="str">
        <f t="shared" si="1"/>
        <v>625,500 DENVER</v>
      </c>
      <c r="G29" s="172">
        <v>25</v>
      </c>
      <c r="H29" s="172" t="s">
        <v>264</v>
      </c>
      <c r="I29" s="174">
        <v>625500</v>
      </c>
      <c r="J29" s="175" t="s">
        <v>227</v>
      </c>
    </row>
    <row r="30" spans="1:10" x14ac:dyDescent="0.2">
      <c r="A30" s="172" t="s">
        <v>121</v>
      </c>
      <c r="B30" s="175" t="str">
        <f t="shared" si="0"/>
        <v>VALD</v>
      </c>
      <c r="C30" s="175" t="str">
        <f t="shared" si="1"/>
        <v>625,500 DENVER</v>
      </c>
      <c r="G30" s="172">
        <v>26</v>
      </c>
      <c r="H30" s="172" t="s">
        <v>265</v>
      </c>
      <c r="I30" s="174">
        <v>625500</v>
      </c>
      <c r="J30" s="175" t="s">
        <v>227</v>
      </c>
    </row>
    <row r="31" spans="1:10" x14ac:dyDescent="0.2">
      <c r="A31" s="172" t="s">
        <v>122</v>
      </c>
      <c r="B31" s="175" t="str">
        <f t="shared" si="0"/>
        <v>WADE HAMP</v>
      </c>
      <c r="C31" s="175" t="str">
        <f t="shared" si="1"/>
        <v>625,500 DENVER</v>
      </c>
      <c r="G31" s="172">
        <v>27</v>
      </c>
      <c r="H31" s="172" t="s">
        <v>266</v>
      </c>
      <c r="I31" s="174">
        <v>625500</v>
      </c>
      <c r="J31" s="175" t="s">
        <v>227</v>
      </c>
    </row>
    <row r="32" spans="1:10" x14ac:dyDescent="0.2">
      <c r="A32" s="172" t="s">
        <v>123</v>
      </c>
      <c r="B32" s="175" t="str">
        <f t="shared" si="0"/>
        <v>WRANGELL CITY A 62</v>
      </c>
      <c r="C32" s="175" t="str">
        <f t="shared" si="1"/>
        <v>625,500 DENVER</v>
      </c>
      <c r="G32" s="172">
        <v>28</v>
      </c>
      <c r="H32" s="172" t="s">
        <v>267</v>
      </c>
      <c r="I32" s="174">
        <v>625500</v>
      </c>
      <c r="J32" s="175" t="s">
        <v>227</v>
      </c>
    </row>
    <row r="33" spans="1:10" x14ac:dyDescent="0.2">
      <c r="A33" s="172" t="s">
        <v>124</v>
      </c>
      <c r="B33" s="175" t="str">
        <f t="shared" si="0"/>
        <v>YAKUTAT CITY</v>
      </c>
      <c r="C33" s="175" t="str">
        <f t="shared" si="1"/>
        <v>625,500 DENVER</v>
      </c>
      <c r="G33" s="172">
        <v>29</v>
      </c>
      <c r="H33" s="172" t="s">
        <v>239</v>
      </c>
      <c r="I33" s="174">
        <v>625500</v>
      </c>
      <c r="J33" s="175" t="s">
        <v>227</v>
      </c>
    </row>
    <row r="34" spans="1:10" x14ac:dyDescent="0.2">
      <c r="A34" s="172" t="s">
        <v>125</v>
      </c>
      <c r="B34" s="175" t="str">
        <f t="shared" si="0"/>
        <v>YUKO</v>
      </c>
      <c r="C34" s="175" t="str">
        <f t="shared" si="1"/>
        <v>625,500 DENVER</v>
      </c>
      <c r="G34" s="172">
        <v>30</v>
      </c>
      <c r="H34" s="172" t="s">
        <v>268</v>
      </c>
      <c r="I34" s="174">
        <v>625500</v>
      </c>
      <c r="J34" s="175" t="s">
        <v>227</v>
      </c>
    </row>
    <row r="35" spans="1:10" x14ac:dyDescent="0.2">
      <c r="A35" s="172" t="s">
        <v>126</v>
      </c>
      <c r="B35" s="175" t="str">
        <f t="shared" si="0"/>
        <v>ALAM</v>
      </c>
      <c r="C35" s="175" t="str">
        <f t="shared" si="1"/>
        <v>987,500 PHOENIX</v>
      </c>
      <c r="G35" s="172">
        <v>31</v>
      </c>
      <c r="H35" s="172" t="s">
        <v>467</v>
      </c>
      <c r="I35" s="174">
        <v>463450</v>
      </c>
      <c r="J35" s="175"/>
    </row>
    <row r="36" spans="1:10" x14ac:dyDescent="0.2">
      <c r="A36" s="172" t="s">
        <v>127</v>
      </c>
      <c r="B36" s="175" t="str">
        <f t="shared" si="0"/>
        <v>CONTRA COST</v>
      </c>
      <c r="C36" s="175" t="str">
        <f t="shared" si="1"/>
        <v>987,500 PHOENIX</v>
      </c>
      <c r="G36" s="172">
        <v>32</v>
      </c>
      <c r="H36" s="172" t="s">
        <v>440</v>
      </c>
      <c r="I36" s="174">
        <v>1050000</v>
      </c>
      <c r="J36" s="175" t="s">
        <v>229</v>
      </c>
    </row>
    <row r="37" spans="1:10" x14ac:dyDescent="0.2">
      <c r="B37" s="175"/>
      <c r="C37" s="175"/>
      <c r="G37" s="172">
        <v>33</v>
      </c>
      <c r="H37" s="172" t="s">
        <v>269</v>
      </c>
      <c r="I37" s="174">
        <v>1050000</v>
      </c>
      <c r="J37" s="175" t="s">
        <v>229</v>
      </c>
    </row>
    <row r="38" spans="1:10" x14ac:dyDescent="0.2">
      <c r="A38" s="172" t="s">
        <v>128</v>
      </c>
      <c r="B38" s="175" t="str">
        <f t="shared" si="0"/>
        <v>LOS ANGE</v>
      </c>
      <c r="C38" s="175" t="str">
        <f t="shared" si="1"/>
        <v>668,750 PHOENIX</v>
      </c>
      <c r="G38" s="172">
        <v>34</v>
      </c>
      <c r="H38" s="172" t="s">
        <v>390</v>
      </c>
      <c r="I38" s="174">
        <v>474950</v>
      </c>
      <c r="J38" s="175" t="s">
        <v>229</v>
      </c>
    </row>
    <row r="39" spans="1:10" x14ac:dyDescent="0.2">
      <c r="A39" s="172" t="s">
        <v>129</v>
      </c>
      <c r="B39" s="175" t="str">
        <f t="shared" si="0"/>
        <v>MARI</v>
      </c>
      <c r="C39" s="175" t="str">
        <f t="shared" si="1"/>
        <v>987,500 PHOENIX</v>
      </c>
      <c r="G39" s="172">
        <v>35</v>
      </c>
      <c r="H39" s="172" t="s">
        <v>441</v>
      </c>
      <c r="I39" s="174">
        <v>687500</v>
      </c>
      <c r="J39" s="175" t="s">
        <v>229</v>
      </c>
    </row>
    <row r="40" spans="1:10" x14ac:dyDescent="0.2">
      <c r="A40" s="172" t="s">
        <v>130</v>
      </c>
      <c r="B40" s="175" t="str">
        <f t="shared" si="0"/>
        <v>MONT</v>
      </c>
      <c r="C40" s="175" t="str">
        <f t="shared" si="1"/>
        <v>425,000 PHOENIX</v>
      </c>
      <c r="G40" s="172">
        <v>36</v>
      </c>
      <c r="H40" s="172" t="s">
        <v>270</v>
      </c>
      <c r="I40" s="174">
        <v>1050000</v>
      </c>
      <c r="J40" s="175" t="s">
        <v>229</v>
      </c>
    </row>
    <row r="41" spans="1:10" x14ac:dyDescent="0.2">
      <c r="A41" s="172" t="s">
        <v>131</v>
      </c>
      <c r="B41" s="175" t="str">
        <f t="shared" si="0"/>
        <v>NAPA</v>
      </c>
      <c r="C41" s="175" t="str">
        <f t="shared" si="1"/>
        <v>521,250 PHOENIX</v>
      </c>
      <c r="G41" s="172">
        <v>37</v>
      </c>
      <c r="H41" s="172" t="s">
        <v>271</v>
      </c>
      <c r="I41" s="174">
        <v>500000</v>
      </c>
      <c r="J41" s="175" t="s">
        <v>229</v>
      </c>
    </row>
    <row r="42" spans="1:10" x14ac:dyDescent="0.2">
      <c r="A42" s="172" t="s">
        <v>132</v>
      </c>
      <c r="B42" s="175" t="str">
        <f t="shared" si="0"/>
        <v>ORAN</v>
      </c>
      <c r="C42" s="175" t="str">
        <f t="shared" si="1"/>
        <v>668,750 PHOENIX</v>
      </c>
      <c r="G42" s="172">
        <v>38</v>
      </c>
      <c r="H42" s="172" t="s">
        <v>240</v>
      </c>
      <c r="I42" s="174">
        <v>592250</v>
      </c>
      <c r="J42" s="175" t="s">
        <v>229</v>
      </c>
    </row>
    <row r="43" spans="1:10" x14ac:dyDescent="0.2">
      <c r="B43" s="175"/>
      <c r="C43" s="175"/>
      <c r="G43" s="172">
        <v>39</v>
      </c>
      <c r="H43" s="172" t="s">
        <v>272</v>
      </c>
      <c r="I43" s="174">
        <v>687500</v>
      </c>
      <c r="J43" s="175" t="s">
        <v>229</v>
      </c>
    </row>
    <row r="44" spans="1:10" x14ac:dyDescent="0.2">
      <c r="B44" s="175"/>
      <c r="C44" s="175"/>
      <c r="G44" s="172">
        <v>40</v>
      </c>
      <c r="H44" s="172" t="s">
        <v>392</v>
      </c>
      <c r="I44" s="174">
        <v>474950</v>
      </c>
      <c r="J44" s="175" t="s">
        <v>229</v>
      </c>
    </row>
    <row r="45" spans="1:10" x14ac:dyDescent="0.2">
      <c r="A45" s="172" t="s">
        <v>133</v>
      </c>
      <c r="B45" s="175" t="str">
        <f t="shared" si="0"/>
        <v>SAN BENI</v>
      </c>
      <c r="C45" s="175" t="str">
        <f t="shared" si="1"/>
        <v>823,750 PHOENIX</v>
      </c>
      <c r="G45" s="172">
        <v>41</v>
      </c>
      <c r="H45" s="172" t="s">
        <v>391</v>
      </c>
      <c r="I45" s="174">
        <v>474950</v>
      </c>
      <c r="J45" s="175" t="s">
        <v>229</v>
      </c>
    </row>
    <row r="46" spans="1:10" x14ac:dyDescent="0.2">
      <c r="A46" s="172" t="s">
        <v>134</v>
      </c>
      <c r="B46" s="175" t="str">
        <f t="shared" si="0"/>
        <v>SAN DIEG</v>
      </c>
      <c r="C46" s="175" t="str">
        <f t="shared" si="1"/>
        <v>500,000 PHOENIX</v>
      </c>
      <c r="G46" s="172">
        <v>42</v>
      </c>
      <c r="H46" s="172" t="s">
        <v>273</v>
      </c>
      <c r="I46" s="174">
        <v>827500</v>
      </c>
      <c r="J46" s="175" t="s">
        <v>229</v>
      </c>
    </row>
    <row r="47" spans="1:10" x14ac:dyDescent="0.2">
      <c r="A47" s="172" t="s">
        <v>135</v>
      </c>
      <c r="B47" s="175" t="str">
        <f t="shared" si="0"/>
        <v>SAN FRAN</v>
      </c>
      <c r="C47" s="175" t="str">
        <f t="shared" si="1"/>
        <v>987,500 PHOENIX</v>
      </c>
      <c r="G47" s="172">
        <v>43</v>
      </c>
      <c r="H47" s="172" t="s">
        <v>274</v>
      </c>
      <c r="I47" s="174">
        <v>546250</v>
      </c>
      <c r="J47" s="175" t="s">
        <v>229</v>
      </c>
    </row>
    <row r="48" spans="1:10" x14ac:dyDescent="0.2">
      <c r="A48" s="172" t="s">
        <v>136</v>
      </c>
      <c r="B48" s="175" t="str">
        <f t="shared" si="0"/>
        <v>SAN LUIS OBIS</v>
      </c>
      <c r="C48" s="175" t="str">
        <f t="shared" si="1"/>
        <v>481,250 PHOENIX</v>
      </c>
      <c r="G48" s="172">
        <v>44</v>
      </c>
      <c r="H48" s="172" t="s">
        <v>275</v>
      </c>
      <c r="I48" s="174">
        <v>1050000</v>
      </c>
      <c r="J48" s="175" t="s">
        <v>229</v>
      </c>
    </row>
    <row r="49" spans="1:10" x14ac:dyDescent="0.2">
      <c r="A49" s="172" t="s">
        <v>137</v>
      </c>
      <c r="B49" s="175" t="str">
        <f t="shared" si="0"/>
        <v>SAN MATE</v>
      </c>
      <c r="C49" s="175" t="str">
        <f t="shared" si="1"/>
        <v>987,500 PHOENIX</v>
      </c>
      <c r="G49" s="172">
        <v>45</v>
      </c>
      <c r="H49" s="172" t="s">
        <v>276</v>
      </c>
      <c r="I49" s="174">
        <v>561200</v>
      </c>
      <c r="J49" s="175" t="s">
        <v>229</v>
      </c>
    </row>
    <row r="50" spans="1:10" x14ac:dyDescent="0.2">
      <c r="A50" s="172" t="s">
        <v>138</v>
      </c>
      <c r="B50" s="175" t="str">
        <f t="shared" si="0"/>
        <v>SANTA BARB</v>
      </c>
      <c r="C50" s="175" t="str">
        <f t="shared" si="1"/>
        <v>593,750 PHOENIX</v>
      </c>
      <c r="G50" s="172">
        <v>46</v>
      </c>
      <c r="H50" s="172" t="s">
        <v>277</v>
      </c>
      <c r="I50" s="174">
        <v>1050000</v>
      </c>
      <c r="J50" s="175" t="s">
        <v>229</v>
      </c>
    </row>
    <row r="51" spans="1:10" x14ac:dyDescent="0.2">
      <c r="A51" s="172" t="s">
        <v>139</v>
      </c>
      <c r="B51" s="175" t="str">
        <f t="shared" si="0"/>
        <v>SANTA CLAR</v>
      </c>
      <c r="C51" s="175" t="str">
        <f t="shared" si="1"/>
        <v>823,750 PHOENIX</v>
      </c>
      <c r="G51" s="172">
        <v>47</v>
      </c>
      <c r="H51" s="172" t="s">
        <v>278</v>
      </c>
      <c r="I51" s="174">
        <v>643750</v>
      </c>
      <c r="J51" s="175" t="s">
        <v>229</v>
      </c>
    </row>
    <row r="52" spans="1:10" x14ac:dyDescent="0.2">
      <c r="A52" s="172" t="s">
        <v>140</v>
      </c>
      <c r="B52" s="175" t="str">
        <f t="shared" si="0"/>
        <v>SANTA CRUZ</v>
      </c>
      <c r="C52" s="175" t="str">
        <f t="shared" si="1"/>
        <v>668,750 PHOENIX</v>
      </c>
      <c r="G52" s="172">
        <v>48</v>
      </c>
      <c r="H52" s="172" t="s">
        <v>279</v>
      </c>
      <c r="I52" s="174">
        <v>827500</v>
      </c>
      <c r="J52" s="175" t="s">
        <v>229</v>
      </c>
    </row>
    <row r="53" spans="1:10" x14ac:dyDescent="0.2">
      <c r="A53" s="172" t="s">
        <v>141</v>
      </c>
      <c r="B53" s="175" t="str">
        <f t="shared" si="0"/>
        <v>SONO</v>
      </c>
      <c r="C53" s="175" t="str">
        <f t="shared" si="1"/>
        <v>448,750 PHOENIX</v>
      </c>
      <c r="G53" s="172">
        <v>49</v>
      </c>
      <c r="H53" s="172" t="s">
        <v>241</v>
      </c>
      <c r="I53" s="174">
        <v>681250</v>
      </c>
      <c r="J53" s="175" t="s">
        <v>229</v>
      </c>
    </row>
    <row r="54" spans="1:10" x14ac:dyDescent="0.2">
      <c r="A54" s="172" t="s">
        <v>142</v>
      </c>
      <c r="B54" s="175" t="str">
        <f t="shared" si="0"/>
        <v>VENT</v>
      </c>
      <c r="C54" s="175" t="str">
        <f t="shared" si="1"/>
        <v>546,250 PHOENIX</v>
      </c>
      <c r="G54" s="172">
        <v>50</v>
      </c>
      <c r="H54" s="172" t="s">
        <v>280</v>
      </c>
      <c r="I54" s="174">
        <v>520950</v>
      </c>
      <c r="J54" s="175" t="s">
        <v>229</v>
      </c>
    </row>
    <row r="55" spans="1:10" x14ac:dyDescent="0.2">
      <c r="B55" s="175"/>
      <c r="C55" s="175"/>
      <c r="G55" s="172">
        <v>51</v>
      </c>
      <c r="H55" s="172" t="s">
        <v>281</v>
      </c>
      <c r="I55" s="174">
        <v>598000</v>
      </c>
      <c r="J55" s="175" t="s">
        <v>229</v>
      </c>
    </row>
    <row r="56" spans="1:10" x14ac:dyDescent="0.2">
      <c r="B56" s="175"/>
      <c r="C56" s="175"/>
      <c r="G56" s="172">
        <v>52</v>
      </c>
      <c r="H56" s="172" t="s">
        <v>393</v>
      </c>
      <c r="I56" s="174">
        <v>474950</v>
      </c>
      <c r="J56" s="175" t="s">
        <v>229</v>
      </c>
    </row>
    <row r="57" spans="1:10" x14ac:dyDescent="0.2">
      <c r="B57" s="175"/>
      <c r="C57" s="175"/>
      <c r="G57" s="172">
        <v>53</v>
      </c>
      <c r="H57" s="172" t="s">
        <v>394</v>
      </c>
      <c r="I57" s="174">
        <v>425000</v>
      </c>
      <c r="J57" s="175" t="s">
        <v>227</v>
      </c>
    </row>
    <row r="58" spans="1:10" x14ac:dyDescent="0.2">
      <c r="A58" s="172" t="s">
        <v>143</v>
      </c>
      <c r="B58" s="175" t="str">
        <f t="shared" si="0"/>
        <v>BOUL</v>
      </c>
      <c r="C58" s="175" t="str">
        <f t="shared" si="1"/>
        <v>443,750 DENVER</v>
      </c>
      <c r="G58" s="172">
        <v>54</v>
      </c>
      <c r="H58" s="172" t="s">
        <v>395</v>
      </c>
      <c r="I58" s="174">
        <v>425000</v>
      </c>
      <c r="J58" s="175" t="s">
        <v>227</v>
      </c>
    </row>
    <row r="59" spans="1:10" x14ac:dyDescent="0.2">
      <c r="B59" s="175"/>
      <c r="C59" s="175"/>
      <c r="G59" s="172">
        <v>55</v>
      </c>
      <c r="H59" s="172" t="s">
        <v>282</v>
      </c>
      <c r="I59" s="174">
        <v>422500</v>
      </c>
      <c r="J59" s="175" t="s">
        <v>227</v>
      </c>
    </row>
    <row r="60" spans="1:10" x14ac:dyDescent="0.2">
      <c r="B60" s="175"/>
      <c r="C60" s="175"/>
      <c r="G60" s="172">
        <v>56</v>
      </c>
      <c r="H60" s="172" t="s">
        <v>396</v>
      </c>
      <c r="I60" s="174">
        <v>425000</v>
      </c>
      <c r="J60" s="175"/>
    </row>
    <row r="61" spans="1:10" x14ac:dyDescent="0.2">
      <c r="B61" s="175"/>
      <c r="C61" s="175"/>
      <c r="G61" s="172">
        <v>57</v>
      </c>
      <c r="H61" s="172" t="s">
        <v>397</v>
      </c>
      <c r="I61" s="174">
        <v>425000</v>
      </c>
      <c r="J61" s="175"/>
    </row>
    <row r="62" spans="1:10" x14ac:dyDescent="0.2">
      <c r="B62" s="175"/>
      <c r="C62" s="175"/>
      <c r="G62" s="172">
        <v>58</v>
      </c>
      <c r="H62" s="172" t="s">
        <v>398</v>
      </c>
      <c r="I62" s="174">
        <v>425000</v>
      </c>
      <c r="J62" s="175"/>
    </row>
    <row r="63" spans="1:10" x14ac:dyDescent="0.2">
      <c r="A63" s="172" t="s">
        <v>144</v>
      </c>
      <c r="B63" s="175" t="str">
        <f t="shared" si="0"/>
        <v>EAGL</v>
      </c>
      <c r="C63" s="175" t="str">
        <f t="shared" si="1"/>
        <v>712,500 DENVER</v>
      </c>
      <c r="G63" s="172">
        <v>59</v>
      </c>
      <c r="H63" s="172" t="s">
        <v>399</v>
      </c>
      <c r="I63" s="174">
        <v>425000</v>
      </c>
      <c r="J63" s="175"/>
    </row>
    <row r="64" spans="1:10" x14ac:dyDescent="0.2">
      <c r="B64" s="175"/>
      <c r="C64" s="175"/>
      <c r="G64" s="172">
        <v>60</v>
      </c>
      <c r="H64" s="172" t="s">
        <v>283</v>
      </c>
      <c r="I64" s="174">
        <v>625500</v>
      </c>
      <c r="J64" s="175" t="s">
        <v>227</v>
      </c>
    </row>
    <row r="65" spans="1:10" x14ac:dyDescent="0.2">
      <c r="B65" s="175"/>
      <c r="C65" s="175"/>
      <c r="G65" s="172">
        <v>61</v>
      </c>
      <c r="H65" s="172" t="s">
        <v>400</v>
      </c>
      <c r="I65" s="174">
        <v>425000</v>
      </c>
      <c r="J65" s="175"/>
    </row>
    <row r="66" spans="1:10" x14ac:dyDescent="0.2">
      <c r="B66" s="175"/>
      <c r="C66" s="175"/>
      <c r="G66" s="172">
        <v>62</v>
      </c>
      <c r="H66" s="172" t="s">
        <v>401</v>
      </c>
      <c r="I66" s="174">
        <v>781250</v>
      </c>
      <c r="J66" s="175"/>
    </row>
    <row r="67" spans="1:10" x14ac:dyDescent="0.2">
      <c r="B67" s="175"/>
      <c r="C67" s="175"/>
      <c r="G67" s="172">
        <v>63</v>
      </c>
      <c r="H67" s="172" t="s">
        <v>402</v>
      </c>
      <c r="I67" s="174">
        <v>425000</v>
      </c>
      <c r="J67" s="175"/>
    </row>
    <row r="68" spans="1:10" x14ac:dyDescent="0.2">
      <c r="B68" s="175"/>
      <c r="C68" s="175"/>
      <c r="G68" s="172">
        <v>64</v>
      </c>
      <c r="H68" s="172" t="s">
        <v>403</v>
      </c>
      <c r="I68" s="174">
        <v>425000</v>
      </c>
      <c r="J68" s="175"/>
    </row>
    <row r="69" spans="1:10" x14ac:dyDescent="0.2">
      <c r="A69" s="172" t="s">
        <v>145</v>
      </c>
      <c r="B69" s="175" t="str">
        <f t="shared" si="0"/>
        <v>PITK</v>
      </c>
      <c r="C69" s="175" t="str">
        <f t="shared" si="1"/>
        <v>1,094,625 DENVER</v>
      </c>
      <c r="G69" s="172">
        <v>65</v>
      </c>
      <c r="H69" s="172" t="s">
        <v>468</v>
      </c>
      <c r="I69" s="174">
        <v>625500</v>
      </c>
      <c r="J69" s="175"/>
    </row>
    <row r="70" spans="1:10" x14ac:dyDescent="0.2">
      <c r="A70" s="172" t="s">
        <v>146</v>
      </c>
      <c r="B70" s="175" t="str">
        <f t="shared" si="0"/>
        <v>ROUT</v>
      </c>
      <c r="C70" s="175" t="str">
        <f t="shared" si="1"/>
        <v>550,000 DENVER</v>
      </c>
      <c r="G70" s="172">
        <v>66</v>
      </c>
      <c r="H70" s="172" t="s">
        <v>469</v>
      </c>
      <c r="I70" s="174">
        <v>425500</v>
      </c>
      <c r="J70" s="175"/>
    </row>
    <row r="71" spans="1:10" x14ac:dyDescent="0.2">
      <c r="A71" s="172" t="s">
        <v>147</v>
      </c>
      <c r="B71" s="175" t="str">
        <f t="shared" si="0"/>
        <v>SUMM</v>
      </c>
      <c r="C71" s="175" t="str">
        <f t="shared" si="1"/>
        <v>667,500 DENVER</v>
      </c>
      <c r="G71" s="172">
        <v>67</v>
      </c>
      <c r="H71" s="172" t="s">
        <v>404</v>
      </c>
      <c r="I71" s="174">
        <v>425000</v>
      </c>
      <c r="J71" s="175"/>
    </row>
    <row r="72" spans="1:10" x14ac:dyDescent="0.2">
      <c r="A72" s="172" t="s">
        <v>148</v>
      </c>
      <c r="B72" s="175" t="str">
        <f t="shared" si="0"/>
        <v>FAIR</v>
      </c>
      <c r="C72" s="175" t="str">
        <f t="shared" si="1"/>
        <v>612,500 CLEVELAND</v>
      </c>
      <c r="G72" s="172">
        <v>68</v>
      </c>
      <c r="H72" s="172" t="s">
        <v>284</v>
      </c>
      <c r="I72" s="174">
        <v>781250</v>
      </c>
      <c r="J72" s="175" t="s">
        <v>227</v>
      </c>
    </row>
    <row r="73" spans="1:10" x14ac:dyDescent="0.2">
      <c r="A73" s="172" t="s">
        <v>149</v>
      </c>
      <c r="B73" s="175" t="str">
        <f t="shared" si="0"/>
        <v xml:space="preserve">DISTRICT OF COL </v>
      </c>
      <c r="C73" s="175" t="str">
        <f t="shared" si="1"/>
        <v>843,750 ROANOKE</v>
      </c>
      <c r="G73" s="172">
        <v>69</v>
      </c>
      <c r="H73" s="172" t="s">
        <v>285</v>
      </c>
      <c r="I73" s="174">
        <v>625500</v>
      </c>
      <c r="J73" s="175" t="s">
        <v>227</v>
      </c>
    </row>
    <row r="74" spans="1:10" x14ac:dyDescent="0.2">
      <c r="B74" s="175"/>
      <c r="C74" s="175"/>
      <c r="G74" s="172">
        <v>70</v>
      </c>
      <c r="H74" s="172" t="s">
        <v>286</v>
      </c>
      <c r="I74" s="174">
        <v>625500</v>
      </c>
      <c r="J74" s="175" t="s">
        <v>227</v>
      </c>
    </row>
    <row r="75" spans="1:10" x14ac:dyDescent="0.2">
      <c r="A75" s="172" t="s">
        <v>150</v>
      </c>
      <c r="B75" s="175" t="str">
        <f t="shared" si="0"/>
        <v>GUAM</v>
      </c>
      <c r="C75" s="175" t="str">
        <f t="shared" si="1"/>
        <v>625,500 HONOLULU</v>
      </c>
      <c r="G75" s="172">
        <v>71</v>
      </c>
      <c r="H75" s="172" t="s">
        <v>287</v>
      </c>
      <c r="I75" s="174">
        <v>601450</v>
      </c>
      <c r="J75" s="175" t="s">
        <v>230</v>
      </c>
    </row>
    <row r="76" spans="1:10" x14ac:dyDescent="0.2">
      <c r="A76" s="172" t="s">
        <v>151</v>
      </c>
      <c r="B76" s="175" t="str">
        <f t="shared" si="0"/>
        <v>HAWA</v>
      </c>
      <c r="C76" s="175" t="str">
        <f t="shared" si="1"/>
        <v>625,500 HONOLULU</v>
      </c>
      <c r="G76" s="172">
        <v>72</v>
      </c>
      <c r="H76" s="172" t="s">
        <v>352</v>
      </c>
      <c r="I76" s="174">
        <v>692500</v>
      </c>
      <c r="J76" s="175" t="s">
        <v>231</v>
      </c>
    </row>
    <row r="77" spans="1:10" x14ac:dyDescent="0.2">
      <c r="A77" s="172" t="s">
        <v>152</v>
      </c>
      <c r="B77" s="175" t="str">
        <f t="shared" si="0"/>
        <v>HONO</v>
      </c>
      <c r="C77" s="175" t="str">
        <f t="shared" si="1"/>
        <v>750,000 HONOLULU</v>
      </c>
      <c r="G77" s="172">
        <v>73</v>
      </c>
      <c r="H77" s="172" t="s">
        <v>470</v>
      </c>
      <c r="I77" s="174">
        <v>448500</v>
      </c>
      <c r="J77" s="175"/>
    </row>
    <row r="78" spans="1:10" x14ac:dyDescent="0.2">
      <c r="A78" s="172" t="s">
        <v>153</v>
      </c>
      <c r="B78" s="175" t="str">
        <f t="shared" si="0"/>
        <v>KALA</v>
      </c>
      <c r="C78" s="175" t="str">
        <f t="shared" si="1"/>
        <v>625,500 HONOLULU</v>
      </c>
      <c r="G78" s="172">
        <v>74</v>
      </c>
      <c r="H78" s="172" t="s">
        <v>442</v>
      </c>
      <c r="I78" s="174">
        <v>529000</v>
      </c>
      <c r="J78" s="175"/>
    </row>
    <row r="79" spans="1:10" x14ac:dyDescent="0.2">
      <c r="A79" s="172" t="s">
        <v>154</v>
      </c>
      <c r="B79" s="175" t="str">
        <f t="shared" si="0"/>
        <v>KAUA</v>
      </c>
      <c r="C79" s="175" t="str">
        <f t="shared" si="1"/>
        <v>625,500 HONOLULU</v>
      </c>
      <c r="G79" s="172">
        <v>75</v>
      </c>
      <c r="H79" s="172" t="s">
        <v>471</v>
      </c>
      <c r="I79" s="174">
        <v>515200</v>
      </c>
      <c r="J79" s="175"/>
    </row>
    <row r="80" spans="1:10" x14ac:dyDescent="0.2">
      <c r="A80" s="172" t="s">
        <v>155</v>
      </c>
      <c r="B80" s="175" t="str">
        <f t="shared" si="0"/>
        <v>MAUI</v>
      </c>
      <c r="C80" s="175" t="str">
        <f t="shared" si="1"/>
        <v>625,500 HONOLULU</v>
      </c>
      <c r="G80" s="172">
        <v>76</v>
      </c>
      <c r="H80" s="172" t="s">
        <v>242</v>
      </c>
      <c r="I80" s="174">
        <v>625500</v>
      </c>
      <c r="J80" s="175" t="s">
        <v>232</v>
      </c>
    </row>
    <row r="81" spans="1:10" x14ac:dyDescent="0.2">
      <c r="A81" s="172" t="s">
        <v>156</v>
      </c>
      <c r="B81" s="175" t="str">
        <f t="shared" si="0"/>
        <v>TETO</v>
      </c>
      <c r="C81" s="175" t="str">
        <f t="shared" si="1"/>
        <v>635,000 DENVER</v>
      </c>
      <c r="G81" s="172">
        <v>77</v>
      </c>
      <c r="H81" s="172" t="s">
        <v>288</v>
      </c>
      <c r="I81" s="174">
        <v>625500</v>
      </c>
      <c r="J81" s="175" t="s">
        <v>232</v>
      </c>
    </row>
    <row r="82" spans="1:10" x14ac:dyDescent="0.2">
      <c r="B82" s="175"/>
      <c r="C82" s="175"/>
      <c r="G82" s="172">
        <v>78</v>
      </c>
      <c r="H82" s="172" t="s">
        <v>289</v>
      </c>
      <c r="I82" s="174">
        <v>721050</v>
      </c>
      <c r="J82" s="175" t="s">
        <v>232</v>
      </c>
    </row>
    <row r="83" spans="1:10" x14ac:dyDescent="0.2">
      <c r="A83" s="172" t="s">
        <v>157</v>
      </c>
      <c r="B83" s="175" t="str">
        <f t="shared" si="0"/>
        <v>DUKE</v>
      </c>
      <c r="C83" s="175" t="str">
        <f t="shared" si="1"/>
        <v>723,750 CLEVELAND</v>
      </c>
      <c r="G83" s="172">
        <v>79</v>
      </c>
      <c r="H83" s="172" t="s">
        <v>290</v>
      </c>
      <c r="I83" s="174">
        <v>657800</v>
      </c>
      <c r="J83" s="175" t="s">
        <v>232</v>
      </c>
    </row>
    <row r="84" spans="1:10" x14ac:dyDescent="0.2">
      <c r="A84" s="172" t="s">
        <v>158</v>
      </c>
      <c r="B84" s="175" t="str">
        <f t="shared" si="0"/>
        <v>ESSE</v>
      </c>
      <c r="C84" s="175" t="str">
        <f t="shared" si="1"/>
        <v>500,000 CLEVELAND</v>
      </c>
      <c r="G84" s="172">
        <v>80</v>
      </c>
      <c r="H84" s="172" t="s">
        <v>291</v>
      </c>
      <c r="I84" s="174">
        <v>713000</v>
      </c>
      <c r="J84" s="175" t="s">
        <v>232</v>
      </c>
    </row>
    <row r="85" spans="1:10" x14ac:dyDescent="0.2">
      <c r="A85" s="172" t="s">
        <v>159</v>
      </c>
      <c r="B85" s="175" t="str">
        <f t="shared" ref="B85:B171" si="2">MID($A85,FIND(CHAR(22),SUBSTITUTE($A85," ",CHAR(22),1))+1,FIND(CHAR(22),SUBSTITUTE($A85," ",CHAR(22),LEN($A85)-LEN(SUBSTITUTE($A85," ",""))-2))+1)</f>
        <v>MIDD</v>
      </c>
      <c r="C85" s="175" t="str">
        <f t="shared" si="1"/>
        <v>500,000 CLEVELAND</v>
      </c>
      <c r="G85" s="172">
        <v>81</v>
      </c>
      <c r="H85" s="172" t="s">
        <v>243</v>
      </c>
      <c r="I85" s="174">
        <v>657800</v>
      </c>
      <c r="J85" s="175" t="s">
        <v>232</v>
      </c>
    </row>
    <row r="86" spans="1:10" x14ac:dyDescent="0.2">
      <c r="A86" s="172" t="s">
        <v>160</v>
      </c>
      <c r="B86" s="175" t="str">
        <f t="shared" si="2"/>
        <v>NANT</v>
      </c>
      <c r="C86" s="175" t="str">
        <f t="shared" ref="C86:C172" si="3">MID($A86,FIND(CHAR(22),SUBSTITUTE($A86," ",CHAR(22),LEN($A86)-LEN(SUBSTITUTE($A86," ",""))-1))+1,255)</f>
        <v>1,094,625 CLEVELAND</v>
      </c>
      <c r="G86" s="172">
        <v>82</v>
      </c>
      <c r="H86" s="172" t="s">
        <v>472</v>
      </c>
      <c r="I86" s="174">
        <v>625500</v>
      </c>
      <c r="J86" s="175"/>
    </row>
    <row r="87" spans="1:10" x14ac:dyDescent="0.2">
      <c r="A87" s="172" t="s">
        <v>161</v>
      </c>
      <c r="B87" s="175" t="str">
        <f t="shared" si="2"/>
        <v>NORF</v>
      </c>
      <c r="C87" s="175" t="str">
        <f t="shared" si="3"/>
        <v>500,000 CLEVELAND</v>
      </c>
      <c r="G87" s="172">
        <v>83</v>
      </c>
      <c r="H87" s="172" t="s">
        <v>473</v>
      </c>
      <c r="I87" s="174">
        <v>625500</v>
      </c>
      <c r="J87" s="175"/>
    </row>
    <row r="88" spans="1:10" x14ac:dyDescent="0.2">
      <c r="A88" s="172" t="s">
        <v>162</v>
      </c>
      <c r="B88" s="175" t="str">
        <f t="shared" si="2"/>
        <v>PLYM</v>
      </c>
      <c r="C88" s="175" t="str">
        <f t="shared" si="3"/>
        <v>500,000 CLEVELAND</v>
      </c>
      <c r="G88" s="172">
        <v>84</v>
      </c>
      <c r="H88" s="172" t="s">
        <v>474</v>
      </c>
      <c r="I88" s="174">
        <v>625500</v>
      </c>
      <c r="J88" s="175"/>
    </row>
    <row r="89" spans="1:10" x14ac:dyDescent="0.2">
      <c r="A89" s="172" t="s">
        <v>163</v>
      </c>
      <c r="B89" s="175" t="str">
        <f t="shared" si="2"/>
        <v>SUFF</v>
      </c>
      <c r="C89" s="175" t="str">
        <f t="shared" si="3"/>
        <v>500,000 CLEVELAND</v>
      </c>
      <c r="G89" s="172">
        <v>85</v>
      </c>
      <c r="H89" s="172" t="s">
        <v>443</v>
      </c>
      <c r="I89" s="174">
        <v>630000</v>
      </c>
      <c r="J89" s="175" t="s">
        <v>227</v>
      </c>
    </row>
    <row r="90" spans="1:10" x14ac:dyDescent="0.2">
      <c r="A90" s="172" t="s">
        <v>164</v>
      </c>
      <c r="B90" s="175" t="str">
        <f t="shared" si="2"/>
        <v>ANNE ARUN</v>
      </c>
      <c r="C90" s="175" t="str">
        <f t="shared" si="3"/>
        <v>500,000 ROANOKE</v>
      </c>
      <c r="G90" s="172">
        <v>86</v>
      </c>
      <c r="H90" s="172" t="s">
        <v>405</v>
      </c>
      <c r="I90" s="174">
        <v>431250</v>
      </c>
      <c r="J90" s="175"/>
    </row>
    <row r="91" spans="1:10" x14ac:dyDescent="0.2">
      <c r="A91" s="172" t="s">
        <v>165</v>
      </c>
      <c r="B91" s="175" t="str">
        <f t="shared" si="2"/>
        <v>BALT</v>
      </c>
      <c r="C91" s="175" t="str">
        <f t="shared" si="3"/>
        <v>500,000 ROANOKE</v>
      </c>
      <c r="G91" s="172">
        <v>87</v>
      </c>
      <c r="H91" s="172" t="s">
        <v>292</v>
      </c>
      <c r="I91" s="174">
        <v>715000</v>
      </c>
      <c r="J91" s="175" t="s">
        <v>230</v>
      </c>
    </row>
    <row r="92" spans="1:10" x14ac:dyDescent="0.2">
      <c r="A92" s="172" t="s">
        <v>166</v>
      </c>
      <c r="B92" s="175" t="str">
        <f t="shared" si="2"/>
        <v>BALTIMORE CITY</v>
      </c>
      <c r="C92" s="175" t="str">
        <f t="shared" si="3"/>
        <v>500,000 ROANOKE</v>
      </c>
      <c r="G92" s="172">
        <v>88</v>
      </c>
      <c r="H92" s="172" t="s">
        <v>293</v>
      </c>
      <c r="I92" s="174">
        <v>511250</v>
      </c>
      <c r="J92" s="175" t="s">
        <v>230</v>
      </c>
    </row>
    <row r="93" spans="1:10" x14ac:dyDescent="0.2">
      <c r="A93" s="172" t="s">
        <v>167</v>
      </c>
      <c r="B93" s="175" t="str">
        <f t="shared" si="2"/>
        <v>CALV</v>
      </c>
      <c r="C93" s="175" t="str">
        <f t="shared" si="3"/>
        <v>843,750 ROANOKE</v>
      </c>
      <c r="G93" s="172">
        <v>89</v>
      </c>
      <c r="H93" s="172" t="s">
        <v>294</v>
      </c>
      <c r="I93" s="174">
        <v>511250</v>
      </c>
      <c r="J93" s="175" t="s">
        <v>230</v>
      </c>
    </row>
    <row r="94" spans="1:10" x14ac:dyDescent="0.2">
      <c r="A94" s="172" t="s">
        <v>168</v>
      </c>
      <c r="B94" s="175" t="str">
        <f t="shared" si="2"/>
        <v>CARR</v>
      </c>
      <c r="C94" s="175" t="str">
        <f t="shared" si="3"/>
        <v>500,000 ROANOKE</v>
      </c>
      <c r="G94" s="172">
        <v>90</v>
      </c>
      <c r="H94" s="172" t="s">
        <v>295</v>
      </c>
      <c r="I94" s="174">
        <v>1094625</v>
      </c>
      <c r="J94" s="175" t="s">
        <v>230</v>
      </c>
    </row>
    <row r="95" spans="1:10" x14ac:dyDescent="0.2">
      <c r="A95" s="172" t="s">
        <v>169</v>
      </c>
      <c r="B95" s="175" t="str">
        <f t="shared" si="2"/>
        <v>CHAR</v>
      </c>
      <c r="C95" s="175" t="str">
        <f t="shared" si="3"/>
        <v>843,750 ROANOKE</v>
      </c>
      <c r="G95" s="172">
        <v>91</v>
      </c>
      <c r="H95" s="172" t="s">
        <v>296</v>
      </c>
      <c r="I95" s="174">
        <v>511250</v>
      </c>
      <c r="J95" s="175" t="s">
        <v>230</v>
      </c>
    </row>
    <row r="96" spans="1:10" x14ac:dyDescent="0.2">
      <c r="A96" s="172" t="s">
        <v>170</v>
      </c>
      <c r="B96" s="175" t="str">
        <f t="shared" si="2"/>
        <v>FRED</v>
      </c>
      <c r="C96" s="175" t="str">
        <f t="shared" si="3"/>
        <v>843,750 ROANOKE</v>
      </c>
      <c r="G96" s="172">
        <v>92</v>
      </c>
      <c r="H96" s="172" t="s">
        <v>297</v>
      </c>
      <c r="I96" s="174">
        <v>511250</v>
      </c>
      <c r="J96" s="175" t="s">
        <v>230</v>
      </c>
    </row>
    <row r="97" spans="1:10" x14ac:dyDescent="0.2">
      <c r="A97" s="172" t="s">
        <v>171</v>
      </c>
      <c r="B97" s="175" t="str">
        <f t="shared" si="2"/>
        <v>HARF</v>
      </c>
      <c r="C97" s="175" t="str">
        <f t="shared" si="3"/>
        <v>500,000 ROANOKE</v>
      </c>
      <c r="G97" s="172">
        <v>93</v>
      </c>
      <c r="H97" s="172" t="s">
        <v>298</v>
      </c>
      <c r="I97" s="174">
        <v>511250</v>
      </c>
      <c r="J97" s="175" t="s">
        <v>230</v>
      </c>
    </row>
    <row r="98" spans="1:10" x14ac:dyDescent="0.2">
      <c r="A98" s="172" t="s">
        <v>172</v>
      </c>
      <c r="B98" s="175" t="str">
        <f t="shared" si="2"/>
        <v>HOWA</v>
      </c>
      <c r="C98" s="175" t="str">
        <f t="shared" si="3"/>
        <v>500,000 ROANOKE</v>
      </c>
      <c r="G98" s="172">
        <v>94</v>
      </c>
      <c r="H98" s="172" t="s">
        <v>299</v>
      </c>
      <c r="I98" s="174">
        <v>500000</v>
      </c>
      <c r="J98" s="175" t="s">
        <v>231</v>
      </c>
    </row>
    <row r="99" spans="1:10" x14ac:dyDescent="0.2">
      <c r="A99" s="172" t="s">
        <v>173</v>
      </c>
      <c r="B99" s="175" t="str">
        <f t="shared" si="2"/>
        <v>MONT</v>
      </c>
      <c r="C99" s="175" t="str">
        <f t="shared" si="3"/>
        <v>843,750 ROANOKE</v>
      </c>
      <c r="G99" s="172">
        <v>95</v>
      </c>
      <c r="H99" s="172" t="s">
        <v>300</v>
      </c>
      <c r="I99" s="174">
        <v>500000</v>
      </c>
      <c r="J99" s="175" t="s">
        <v>231</v>
      </c>
    </row>
    <row r="100" spans="1:10" x14ac:dyDescent="0.2">
      <c r="A100" s="172" t="s">
        <v>174</v>
      </c>
      <c r="B100" s="175" t="str">
        <f t="shared" si="2"/>
        <v>PRINCE GEOR</v>
      </c>
      <c r="C100" s="175" t="str">
        <f t="shared" si="3"/>
        <v>843,750 ROANOKE</v>
      </c>
      <c r="G100" s="172">
        <v>96</v>
      </c>
      <c r="H100" s="172" t="s">
        <v>244</v>
      </c>
      <c r="I100" s="174">
        <v>500000</v>
      </c>
      <c r="J100" s="175" t="s">
        <v>231</v>
      </c>
    </row>
    <row r="101" spans="1:10" x14ac:dyDescent="0.2">
      <c r="A101" s="172" t="s">
        <v>175</v>
      </c>
      <c r="B101" s="175" t="str">
        <f t="shared" si="2"/>
        <v>QUEEN ANNE</v>
      </c>
      <c r="C101" s="175" t="str">
        <f t="shared" si="3"/>
        <v>500,000 ROANOKE</v>
      </c>
      <c r="G101" s="172">
        <v>97</v>
      </c>
      <c r="H101" s="172" t="s">
        <v>301</v>
      </c>
      <c r="I101" s="174">
        <v>692500</v>
      </c>
      <c r="J101" s="175" t="s">
        <v>231</v>
      </c>
    </row>
    <row r="102" spans="1:10" x14ac:dyDescent="0.2">
      <c r="B102" s="175"/>
      <c r="C102" s="175"/>
      <c r="G102" s="172">
        <v>98</v>
      </c>
      <c r="H102" s="172" t="s">
        <v>302</v>
      </c>
      <c r="I102" s="174">
        <v>500000</v>
      </c>
      <c r="J102" s="175" t="s">
        <v>231</v>
      </c>
    </row>
    <row r="103" spans="1:10" x14ac:dyDescent="0.2">
      <c r="A103" s="172" t="s">
        <v>176</v>
      </c>
      <c r="B103" s="175" t="str">
        <f t="shared" si="2"/>
        <v>ROCK</v>
      </c>
      <c r="C103" s="175" t="str">
        <f t="shared" si="3"/>
        <v>500,000 CLEVELAND</v>
      </c>
      <c r="G103" s="172">
        <v>99</v>
      </c>
      <c r="H103" s="172" t="s">
        <v>303</v>
      </c>
      <c r="I103" s="174">
        <v>692500</v>
      </c>
      <c r="J103" s="175" t="s">
        <v>231</v>
      </c>
    </row>
    <row r="104" spans="1:10" x14ac:dyDescent="0.2">
      <c r="A104" s="172" t="s">
        <v>177</v>
      </c>
      <c r="B104" s="175" t="str">
        <f t="shared" si="2"/>
        <v>STRA</v>
      </c>
      <c r="C104" s="175" t="str">
        <f t="shared" si="3"/>
        <v>500,000 CLEVELAND</v>
      </c>
      <c r="G104" s="172">
        <v>100</v>
      </c>
      <c r="H104" s="172" t="s">
        <v>304</v>
      </c>
      <c r="I104" s="174">
        <v>692500</v>
      </c>
      <c r="J104" s="175" t="s">
        <v>231</v>
      </c>
    </row>
    <row r="105" spans="1:10" x14ac:dyDescent="0.2">
      <c r="A105" s="172" t="s">
        <v>178</v>
      </c>
      <c r="B105" s="175" t="str">
        <f t="shared" si="2"/>
        <v>BERG</v>
      </c>
      <c r="C105" s="175" t="str">
        <f t="shared" si="3"/>
        <v>722,500 CLEVELAND</v>
      </c>
      <c r="G105" s="172">
        <v>101</v>
      </c>
      <c r="H105" s="172" t="s">
        <v>305</v>
      </c>
      <c r="I105" s="174">
        <v>500000</v>
      </c>
      <c r="J105" s="175" t="s">
        <v>231</v>
      </c>
    </row>
    <row r="106" spans="1:10" x14ac:dyDescent="0.2">
      <c r="A106" s="172" t="s">
        <v>179</v>
      </c>
      <c r="B106" s="175" t="str">
        <f t="shared" si="2"/>
        <v>ESSE</v>
      </c>
      <c r="C106" s="175" t="str">
        <f t="shared" si="3"/>
        <v>722,500 CLEVELAND</v>
      </c>
      <c r="G106" s="172">
        <v>102</v>
      </c>
      <c r="H106" s="172" t="s">
        <v>306</v>
      </c>
      <c r="I106" s="174">
        <v>500000</v>
      </c>
      <c r="J106" s="175" t="s">
        <v>231</v>
      </c>
    </row>
    <row r="107" spans="1:10" x14ac:dyDescent="0.2">
      <c r="A107" s="172" t="s">
        <v>180</v>
      </c>
      <c r="B107" s="175" t="str">
        <f t="shared" si="2"/>
        <v>HUDS</v>
      </c>
      <c r="C107" s="175" t="str">
        <f t="shared" si="3"/>
        <v>722,500 CLEVELAND</v>
      </c>
      <c r="G107" s="172">
        <v>103</v>
      </c>
      <c r="H107" s="172" t="s">
        <v>307</v>
      </c>
      <c r="I107" s="174">
        <v>692500</v>
      </c>
      <c r="J107" s="175" t="s">
        <v>231</v>
      </c>
    </row>
    <row r="108" spans="1:10" x14ac:dyDescent="0.2">
      <c r="A108" s="172" t="s">
        <v>181</v>
      </c>
      <c r="B108" s="175" t="str">
        <f t="shared" si="2"/>
        <v>HUNT</v>
      </c>
      <c r="C108" s="175" t="str">
        <f t="shared" si="3"/>
        <v>722,500 CLEVELAND</v>
      </c>
      <c r="G108" s="172">
        <v>104</v>
      </c>
      <c r="H108" s="172" t="s">
        <v>308</v>
      </c>
      <c r="I108" s="174">
        <v>692500</v>
      </c>
      <c r="J108" s="175" t="s">
        <v>231</v>
      </c>
    </row>
    <row r="109" spans="1:10" x14ac:dyDescent="0.2">
      <c r="A109" s="172" t="s">
        <v>182</v>
      </c>
      <c r="B109" s="175" t="str">
        <f t="shared" si="2"/>
        <v>MIDD</v>
      </c>
      <c r="C109" s="175" t="str">
        <f t="shared" si="3"/>
        <v>722,500 CLEVELAND</v>
      </c>
      <c r="G109" s="172">
        <v>105</v>
      </c>
      <c r="H109" s="172" t="s">
        <v>309</v>
      </c>
      <c r="I109" s="174">
        <v>500000</v>
      </c>
      <c r="J109" s="175" t="s">
        <v>231</v>
      </c>
    </row>
    <row r="110" spans="1:10" x14ac:dyDescent="0.2">
      <c r="A110" s="172" t="s">
        <v>183</v>
      </c>
      <c r="B110" s="175" t="str">
        <f t="shared" si="2"/>
        <v>MONM</v>
      </c>
      <c r="C110" s="175" t="str">
        <f t="shared" si="3"/>
        <v>722,500 CLEVELAND</v>
      </c>
      <c r="G110" s="172">
        <v>106</v>
      </c>
      <c r="H110" s="172" t="s">
        <v>475</v>
      </c>
      <c r="I110" s="174">
        <v>524400</v>
      </c>
      <c r="J110" s="175"/>
    </row>
    <row r="111" spans="1:10" x14ac:dyDescent="0.2">
      <c r="A111" s="172" t="s">
        <v>184</v>
      </c>
      <c r="B111" s="175" t="str">
        <f t="shared" si="2"/>
        <v>MORR</v>
      </c>
      <c r="C111" s="175" t="str">
        <f t="shared" si="3"/>
        <v>722,500 CLEVELAND</v>
      </c>
      <c r="G111" s="172">
        <v>107</v>
      </c>
      <c r="H111" s="172" t="s">
        <v>476</v>
      </c>
      <c r="I111" s="174">
        <v>529000</v>
      </c>
      <c r="J111" s="175"/>
    </row>
    <row r="112" spans="1:10" x14ac:dyDescent="0.2">
      <c r="A112" s="172" t="s">
        <v>185</v>
      </c>
      <c r="B112" s="175" t="str">
        <f t="shared" si="2"/>
        <v>OCEA</v>
      </c>
      <c r="C112" s="175" t="str">
        <f t="shared" si="3"/>
        <v>722,500 CLEVELAND</v>
      </c>
      <c r="G112" s="172">
        <v>108</v>
      </c>
      <c r="H112" s="172" t="s">
        <v>406</v>
      </c>
      <c r="I112" s="174">
        <v>532450</v>
      </c>
      <c r="J112" s="175"/>
    </row>
    <row r="113" spans="1:10" x14ac:dyDescent="0.2">
      <c r="A113" s="172" t="s">
        <v>186</v>
      </c>
      <c r="B113" s="175" t="str">
        <f t="shared" si="2"/>
        <v>PASS</v>
      </c>
      <c r="C113" s="175" t="str">
        <f t="shared" si="3"/>
        <v>722,500 CLEVELAND</v>
      </c>
      <c r="G113" s="172">
        <v>109</v>
      </c>
      <c r="H113" s="172" t="s">
        <v>477</v>
      </c>
      <c r="I113" s="174">
        <v>625500</v>
      </c>
      <c r="J113" s="175"/>
    </row>
    <row r="114" spans="1:10" x14ac:dyDescent="0.2">
      <c r="A114" s="172" t="s">
        <v>187</v>
      </c>
      <c r="B114" s="175" t="str">
        <f t="shared" si="2"/>
        <v>SOME</v>
      </c>
      <c r="C114" s="175" t="str">
        <f t="shared" si="3"/>
        <v>722,500 CLEVELAND</v>
      </c>
      <c r="G114" s="172">
        <v>110</v>
      </c>
      <c r="H114" s="172" t="s">
        <v>478</v>
      </c>
      <c r="I114" s="174">
        <v>458850</v>
      </c>
      <c r="J114" s="175"/>
    </row>
    <row r="115" spans="1:10" x14ac:dyDescent="0.2">
      <c r="A115" s="172" t="s">
        <v>188</v>
      </c>
      <c r="B115" s="175" t="str">
        <f t="shared" si="2"/>
        <v>SUSS</v>
      </c>
      <c r="C115" s="175" t="str">
        <f t="shared" si="3"/>
        <v>722,500 CLEVELAND</v>
      </c>
      <c r="G115" s="172">
        <v>111</v>
      </c>
      <c r="H115" s="172" t="s">
        <v>479</v>
      </c>
      <c r="I115" s="174">
        <v>458850</v>
      </c>
      <c r="J115" s="175"/>
    </row>
    <row r="116" spans="1:10" x14ac:dyDescent="0.2">
      <c r="A116" s="172" t="s">
        <v>189</v>
      </c>
      <c r="B116" s="175" t="str">
        <f t="shared" si="2"/>
        <v>UNIO</v>
      </c>
      <c r="C116" s="175" t="str">
        <f t="shared" si="3"/>
        <v>722,500 CLEVELAND</v>
      </c>
      <c r="G116" s="172">
        <v>112</v>
      </c>
      <c r="H116" s="172" t="s">
        <v>480</v>
      </c>
      <c r="I116" s="174">
        <v>483000</v>
      </c>
      <c r="J116" s="175"/>
    </row>
    <row r="117" spans="1:10" x14ac:dyDescent="0.2">
      <c r="A117" s="172" t="s">
        <v>190</v>
      </c>
      <c r="B117" s="175" t="str">
        <f t="shared" si="2"/>
        <v>BRON</v>
      </c>
      <c r="C117" s="175" t="str">
        <f t="shared" si="3"/>
        <v>722,500 CLEVELAND</v>
      </c>
      <c r="G117" s="172">
        <v>113</v>
      </c>
      <c r="H117" s="172" t="s">
        <v>481</v>
      </c>
      <c r="I117" s="174">
        <v>625500</v>
      </c>
      <c r="J117" s="175"/>
    </row>
    <row r="118" spans="1:10" x14ac:dyDescent="0.2">
      <c r="B118" s="175"/>
      <c r="C118" s="175"/>
      <c r="G118" s="172">
        <v>114</v>
      </c>
      <c r="H118" s="172" t="s">
        <v>482</v>
      </c>
      <c r="I118" s="174">
        <v>625500</v>
      </c>
      <c r="J118" s="175"/>
    </row>
    <row r="119" spans="1:10" x14ac:dyDescent="0.2">
      <c r="A119" s="172" t="s">
        <v>191</v>
      </c>
      <c r="B119" s="175" t="str">
        <f t="shared" si="2"/>
        <v>KING</v>
      </c>
      <c r="C119" s="175" t="str">
        <f t="shared" si="3"/>
        <v>722,500 CLEVELAND</v>
      </c>
      <c r="G119" s="172">
        <v>115</v>
      </c>
      <c r="H119" s="172" t="s">
        <v>310</v>
      </c>
      <c r="I119" s="174">
        <v>511250</v>
      </c>
      <c r="J119" s="175" t="s">
        <v>230</v>
      </c>
    </row>
    <row r="120" spans="1:10" x14ac:dyDescent="0.2">
      <c r="A120" s="172" t="s">
        <v>192</v>
      </c>
      <c r="B120" s="175" t="str">
        <f t="shared" si="2"/>
        <v>NASS</v>
      </c>
      <c r="C120" s="175" t="str">
        <f t="shared" si="3"/>
        <v>722,500 CLEVELAND</v>
      </c>
      <c r="G120" s="172">
        <v>116</v>
      </c>
      <c r="H120" s="172" t="s">
        <v>311</v>
      </c>
      <c r="I120" s="174">
        <v>511250</v>
      </c>
      <c r="J120" s="175" t="s">
        <v>230</v>
      </c>
    </row>
    <row r="121" spans="1:10" x14ac:dyDescent="0.2">
      <c r="A121" s="172" t="s">
        <v>193</v>
      </c>
      <c r="B121" s="175" t="str">
        <f t="shared" si="2"/>
        <v>NEW YORK</v>
      </c>
      <c r="C121" s="175" t="str">
        <f t="shared" si="3"/>
        <v>722,500 CLEVELAND</v>
      </c>
      <c r="G121" s="172">
        <v>117</v>
      </c>
      <c r="H121" s="172" t="s">
        <v>312</v>
      </c>
      <c r="I121" s="174">
        <v>978750</v>
      </c>
      <c r="J121" s="175" t="s">
        <v>230</v>
      </c>
    </row>
    <row r="122" spans="1:10" x14ac:dyDescent="0.2">
      <c r="B122" s="175"/>
      <c r="C122" s="175"/>
      <c r="G122" s="172">
        <v>118</v>
      </c>
      <c r="H122" s="172" t="s">
        <v>313</v>
      </c>
      <c r="I122" s="174">
        <v>978750</v>
      </c>
      <c r="J122" s="175" t="s">
        <v>230</v>
      </c>
    </row>
    <row r="123" spans="1:10" x14ac:dyDescent="0.2">
      <c r="A123" s="172" t="s">
        <v>194</v>
      </c>
      <c r="B123" s="175" t="str">
        <f t="shared" si="2"/>
        <v>PUTN</v>
      </c>
      <c r="C123" s="175" t="str">
        <f t="shared" si="3"/>
        <v>722,500 CLEVELAND</v>
      </c>
      <c r="G123" s="172">
        <v>119</v>
      </c>
      <c r="H123" s="172" t="s">
        <v>314</v>
      </c>
      <c r="I123" s="174">
        <v>978750</v>
      </c>
      <c r="J123" s="175" t="s">
        <v>230</v>
      </c>
    </row>
    <row r="124" spans="1:10" x14ac:dyDescent="0.2">
      <c r="A124" s="172" t="s">
        <v>195</v>
      </c>
      <c r="B124" s="175" t="str">
        <f t="shared" si="2"/>
        <v>QUEE</v>
      </c>
      <c r="C124" s="175" t="str">
        <f t="shared" si="3"/>
        <v>722,500 CLEVELAND</v>
      </c>
      <c r="G124" s="172">
        <v>120</v>
      </c>
      <c r="H124" s="172" t="s">
        <v>315</v>
      </c>
      <c r="I124" s="174">
        <v>978750</v>
      </c>
      <c r="J124" s="175" t="s">
        <v>230</v>
      </c>
    </row>
    <row r="125" spans="1:10" x14ac:dyDescent="0.2">
      <c r="A125" s="172" t="s">
        <v>196</v>
      </c>
      <c r="B125" s="175" t="str">
        <f t="shared" si="2"/>
        <v>RICH</v>
      </c>
      <c r="C125" s="175" t="str">
        <f t="shared" si="3"/>
        <v>722,500 CLEVELAND</v>
      </c>
      <c r="G125" s="172">
        <v>121</v>
      </c>
      <c r="H125" s="172" t="s">
        <v>316</v>
      </c>
      <c r="I125" s="174">
        <v>978750</v>
      </c>
      <c r="J125" s="175" t="s">
        <v>230</v>
      </c>
    </row>
    <row r="126" spans="1:10" x14ac:dyDescent="0.2">
      <c r="A126" s="172" t="s">
        <v>197</v>
      </c>
      <c r="B126" s="175" t="str">
        <f t="shared" si="2"/>
        <v>ROCK</v>
      </c>
      <c r="C126" s="175" t="str">
        <f t="shared" si="3"/>
        <v>722,500 CLEVELAND</v>
      </c>
      <c r="G126" s="172">
        <v>122</v>
      </c>
      <c r="H126" s="172" t="s">
        <v>317</v>
      </c>
      <c r="I126" s="174">
        <v>978750</v>
      </c>
      <c r="J126" s="175" t="s">
        <v>230</v>
      </c>
    </row>
    <row r="127" spans="1:10" x14ac:dyDescent="0.2">
      <c r="A127" s="172" t="s">
        <v>198</v>
      </c>
      <c r="B127" s="175" t="str">
        <f t="shared" si="2"/>
        <v>SUFF</v>
      </c>
      <c r="C127" s="175" t="str">
        <f t="shared" si="3"/>
        <v>722,500 CLEVELAND</v>
      </c>
      <c r="G127" s="172">
        <v>123</v>
      </c>
      <c r="H127" s="172" t="s">
        <v>318</v>
      </c>
      <c r="I127" s="174">
        <v>978750</v>
      </c>
      <c r="J127" s="175" t="s">
        <v>230</v>
      </c>
    </row>
    <row r="128" spans="1:10" x14ac:dyDescent="0.2">
      <c r="A128" s="172" t="s">
        <v>199</v>
      </c>
      <c r="B128" s="175" t="str">
        <f t="shared" si="2"/>
        <v>WEST</v>
      </c>
      <c r="C128" s="175" t="str">
        <f t="shared" si="3"/>
        <v>722,500 CLEVELAND</v>
      </c>
      <c r="G128" s="172">
        <v>124</v>
      </c>
      <c r="H128" s="172" t="s">
        <v>319</v>
      </c>
      <c r="I128" s="174">
        <v>978750</v>
      </c>
      <c r="J128" s="175" t="s">
        <v>230</v>
      </c>
    </row>
    <row r="129" spans="1:10" x14ac:dyDescent="0.2">
      <c r="A129" s="172" t="s">
        <v>200</v>
      </c>
      <c r="B129" s="175" t="str">
        <f t="shared" si="2"/>
        <v>PIKE</v>
      </c>
      <c r="C129" s="175" t="str">
        <f t="shared" si="3"/>
        <v>722,500 CLEVELAND</v>
      </c>
      <c r="G129" s="172">
        <v>125</v>
      </c>
      <c r="H129" s="172" t="s">
        <v>320</v>
      </c>
      <c r="I129" s="174">
        <v>978750</v>
      </c>
      <c r="J129" s="175" t="s">
        <v>230</v>
      </c>
    </row>
    <row r="130" spans="1:10" x14ac:dyDescent="0.2">
      <c r="B130" s="175"/>
      <c r="C130" s="175"/>
      <c r="G130" s="172">
        <v>126</v>
      </c>
      <c r="H130" s="172" t="s">
        <v>321</v>
      </c>
      <c r="I130" s="174">
        <v>978750</v>
      </c>
      <c r="J130" s="175" t="s">
        <v>230</v>
      </c>
    </row>
    <row r="131" spans="1:10" x14ac:dyDescent="0.2">
      <c r="B131" s="175"/>
      <c r="C131" s="175"/>
      <c r="G131" s="172">
        <v>127</v>
      </c>
      <c r="H131" s="172" t="s">
        <v>322</v>
      </c>
      <c r="I131" s="174">
        <v>978750</v>
      </c>
      <c r="J131" s="175" t="s">
        <v>230</v>
      </c>
    </row>
    <row r="132" spans="1:10" x14ac:dyDescent="0.2">
      <c r="B132" s="175"/>
      <c r="C132" s="175"/>
      <c r="G132" s="172">
        <v>128</v>
      </c>
      <c r="H132" s="172" t="s">
        <v>323</v>
      </c>
      <c r="I132" s="174">
        <v>978750</v>
      </c>
      <c r="J132" s="175" t="s">
        <v>230</v>
      </c>
    </row>
    <row r="133" spans="1:10" x14ac:dyDescent="0.2">
      <c r="B133" s="175"/>
      <c r="C133" s="175"/>
      <c r="G133" s="172">
        <v>129</v>
      </c>
      <c r="H133" s="172" t="s">
        <v>324</v>
      </c>
      <c r="I133" s="174">
        <v>978750</v>
      </c>
      <c r="J133" s="175" t="s">
        <v>230</v>
      </c>
    </row>
    <row r="134" spans="1:10" x14ac:dyDescent="0.2">
      <c r="B134" s="175"/>
      <c r="C134" s="175"/>
      <c r="G134" s="172">
        <v>130</v>
      </c>
      <c r="H134" s="172" t="s">
        <v>407</v>
      </c>
      <c r="I134" s="174">
        <v>978750</v>
      </c>
      <c r="J134" s="175"/>
    </row>
    <row r="135" spans="1:10" x14ac:dyDescent="0.2">
      <c r="B135" s="175"/>
      <c r="C135" s="175"/>
      <c r="G135" s="172">
        <v>131</v>
      </c>
      <c r="H135" s="172" t="s">
        <v>325</v>
      </c>
      <c r="I135" s="174">
        <v>978750</v>
      </c>
      <c r="J135" s="175" t="s">
        <v>230</v>
      </c>
    </row>
    <row r="136" spans="1:10" x14ac:dyDescent="0.2">
      <c r="B136" s="175"/>
      <c r="C136" s="175"/>
      <c r="G136" s="172">
        <v>132</v>
      </c>
      <c r="H136" s="172" t="s">
        <v>326</v>
      </c>
      <c r="I136" s="174">
        <v>978750</v>
      </c>
      <c r="J136" s="175" t="s">
        <v>230</v>
      </c>
    </row>
    <row r="137" spans="1:10" x14ac:dyDescent="0.2">
      <c r="B137" s="175"/>
      <c r="C137" s="175"/>
      <c r="G137" s="172">
        <v>133</v>
      </c>
      <c r="H137" s="172" t="s">
        <v>245</v>
      </c>
      <c r="I137" s="174">
        <v>978750</v>
      </c>
      <c r="J137" s="175" t="s">
        <v>230</v>
      </c>
    </row>
    <row r="138" spans="1:10" x14ac:dyDescent="0.2">
      <c r="B138" s="175"/>
      <c r="C138" s="175"/>
      <c r="G138" s="172">
        <v>134</v>
      </c>
      <c r="H138" s="172" t="s">
        <v>408</v>
      </c>
      <c r="I138" s="174">
        <v>978750</v>
      </c>
      <c r="J138" s="175"/>
    </row>
    <row r="139" spans="1:10" x14ac:dyDescent="0.2">
      <c r="B139" s="175"/>
      <c r="C139" s="175"/>
      <c r="G139" s="172">
        <v>135</v>
      </c>
      <c r="H139" s="172" t="s">
        <v>327</v>
      </c>
      <c r="I139" s="174">
        <v>978750</v>
      </c>
      <c r="J139" s="175" t="s">
        <v>230</v>
      </c>
    </row>
    <row r="140" spans="1:10" x14ac:dyDescent="0.2">
      <c r="B140" s="175"/>
      <c r="C140" s="175"/>
      <c r="G140" s="172">
        <v>136</v>
      </c>
      <c r="H140" s="172" t="s">
        <v>328</v>
      </c>
      <c r="I140" s="174">
        <v>978750</v>
      </c>
      <c r="J140" s="175" t="s">
        <v>230</v>
      </c>
    </row>
    <row r="141" spans="1:10" x14ac:dyDescent="0.2">
      <c r="B141" s="175"/>
      <c r="C141" s="175"/>
      <c r="G141" s="172">
        <v>137</v>
      </c>
      <c r="H141" s="172" t="s">
        <v>329</v>
      </c>
      <c r="I141" s="174">
        <v>978750</v>
      </c>
      <c r="J141" s="175" t="s">
        <v>230</v>
      </c>
    </row>
    <row r="142" spans="1:10" x14ac:dyDescent="0.2">
      <c r="B142" s="175"/>
      <c r="C142" s="175"/>
      <c r="G142" s="172">
        <v>138</v>
      </c>
      <c r="H142" s="172" t="s">
        <v>330</v>
      </c>
      <c r="I142" s="174">
        <v>978750</v>
      </c>
      <c r="J142" s="175" t="s">
        <v>230</v>
      </c>
    </row>
    <row r="143" spans="1:10" x14ac:dyDescent="0.2">
      <c r="B143" s="175"/>
      <c r="C143" s="175"/>
      <c r="G143" s="172">
        <v>139</v>
      </c>
      <c r="H143" s="172" t="s">
        <v>331</v>
      </c>
      <c r="I143" s="174">
        <v>978750</v>
      </c>
      <c r="J143" s="175" t="s">
        <v>230</v>
      </c>
    </row>
    <row r="144" spans="1:10" x14ac:dyDescent="0.2">
      <c r="B144" s="175"/>
      <c r="C144" s="175"/>
      <c r="G144" s="172">
        <v>140</v>
      </c>
      <c r="H144" s="172" t="s">
        <v>332</v>
      </c>
      <c r="I144" s="174">
        <v>978750</v>
      </c>
      <c r="J144" s="175" t="s">
        <v>230</v>
      </c>
    </row>
    <row r="145" spans="1:10" x14ac:dyDescent="0.2">
      <c r="B145" s="175"/>
      <c r="C145" s="175"/>
      <c r="G145" s="172">
        <v>141</v>
      </c>
      <c r="H145" s="172" t="s">
        <v>246</v>
      </c>
      <c r="I145" s="174">
        <v>978750</v>
      </c>
      <c r="J145" s="175" t="s">
        <v>230</v>
      </c>
    </row>
    <row r="146" spans="1:10" x14ac:dyDescent="0.2">
      <c r="B146" s="175"/>
      <c r="C146" s="175"/>
      <c r="G146" s="172">
        <v>142</v>
      </c>
      <c r="H146" s="172" t="s">
        <v>409</v>
      </c>
      <c r="I146" s="174">
        <v>431250</v>
      </c>
      <c r="J146" s="175"/>
    </row>
    <row r="147" spans="1:10" x14ac:dyDescent="0.2">
      <c r="B147" s="175"/>
      <c r="C147" s="175"/>
      <c r="G147" s="172">
        <v>143</v>
      </c>
      <c r="H147" s="172" t="s">
        <v>410</v>
      </c>
      <c r="I147" s="174">
        <v>431250</v>
      </c>
      <c r="J147" s="175"/>
    </row>
    <row r="148" spans="1:10" x14ac:dyDescent="0.2">
      <c r="B148" s="175"/>
      <c r="C148" s="175"/>
      <c r="G148" s="172">
        <v>144</v>
      </c>
      <c r="H148" s="172" t="s">
        <v>411</v>
      </c>
      <c r="I148" s="174">
        <v>431250</v>
      </c>
      <c r="J148" s="175"/>
    </row>
    <row r="149" spans="1:10" x14ac:dyDescent="0.2">
      <c r="A149" s="172" t="s">
        <v>201</v>
      </c>
      <c r="B149" s="175" t="str">
        <f t="shared" si="2"/>
        <v>SUMM</v>
      </c>
      <c r="C149" s="175" t="str">
        <f t="shared" si="3"/>
        <v>650,000 DENVER</v>
      </c>
      <c r="G149" s="172">
        <v>145</v>
      </c>
      <c r="H149" s="172" t="s">
        <v>412</v>
      </c>
      <c r="I149" s="174">
        <v>431250</v>
      </c>
      <c r="J149" s="175"/>
    </row>
    <row r="150" spans="1:10" x14ac:dyDescent="0.2">
      <c r="A150" s="172" t="s">
        <v>202</v>
      </c>
      <c r="B150" s="175" t="str">
        <f t="shared" si="2"/>
        <v>ALEX</v>
      </c>
      <c r="C150" s="175" t="str">
        <f t="shared" si="3"/>
        <v>843,750 ROANOKE</v>
      </c>
      <c r="G150" s="172">
        <v>146</v>
      </c>
      <c r="H150" s="172" t="s">
        <v>413</v>
      </c>
      <c r="I150" s="174">
        <v>431250</v>
      </c>
      <c r="J150" s="175"/>
    </row>
    <row r="151" spans="1:10" x14ac:dyDescent="0.2">
      <c r="A151" s="172" t="s">
        <v>203</v>
      </c>
      <c r="B151" s="175" t="str">
        <f t="shared" si="2"/>
        <v>ARLI</v>
      </c>
      <c r="C151" s="175" t="str">
        <f t="shared" si="3"/>
        <v>843,750 ROANOKE</v>
      </c>
      <c r="G151" s="172">
        <v>147</v>
      </c>
      <c r="H151" s="172" t="s">
        <v>414</v>
      </c>
      <c r="I151" s="174">
        <v>417500</v>
      </c>
      <c r="J151" s="175"/>
    </row>
    <row r="152" spans="1:10" x14ac:dyDescent="0.2">
      <c r="A152" s="172" t="s">
        <v>204</v>
      </c>
      <c r="B152" s="175" t="str">
        <f t="shared" si="2"/>
        <v>CLAR</v>
      </c>
      <c r="C152" s="175" t="str">
        <f t="shared" si="3"/>
        <v>843,750 ROANOKE</v>
      </c>
      <c r="G152" s="172">
        <v>148</v>
      </c>
      <c r="H152" s="172" t="s">
        <v>415</v>
      </c>
      <c r="I152" s="174">
        <v>417500</v>
      </c>
      <c r="J152" s="175"/>
    </row>
    <row r="153" spans="1:10" x14ac:dyDescent="0.2">
      <c r="B153" s="175"/>
      <c r="C153" s="175"/>
      <c r="G153" s="172">
        <v>149</v>
      </c>
      <c r="H153" s="172" t="s">
        <v>416</v>
      </c>
      <c r="I153" s="174">
        <v>417500</v>
      </c>
      <c r="J153" s="175"/>
    </row>
    <row r="154" spans="1:10" x14ac:dyDescent="0.2">
      <c r="A154" s="172" t="s">
        <v>205</v>
      </c>
      <c r="B154" s="175" t="str">
        <f t="shared" si="2"/>
        <v>FAIR</v>
      </c>
      <c r="C154" s="175" t="str">
        <f t="shared" si="3"/>
        <v>843,750 ROANOKE</v>
      </c>
      <c r="G154" s="172">
        <v>150</v>
      </c>
      <c r="H154" s="172" t="s">
        <v>417</v>
      </c>
      <c r="I154" s="174">
        <v>417500</v>
      </c>
      <c r="J154" s="175"/>
    </row>
    <row r="155" spans="1:10" x14ac:dyDescent="0.2">
      <c r="A155" s="172" t="s">
        <v>206</v>
      </c>
      <c r="B155" s="175" t="str">
        <f t="shared" si="2"/>
        <v xml:space="preserve">FAIRFAX IND </v>
      </c>
      <c r="C155" s="175" t="str">
        <f t="shared" si="3"/>
        <v>843,750 ROANOKE</v>
      </c>
      <c r="G155" s="172">
        <v>151</v>
      </c>
      <c r="H155" s="172" t="s">
        <v>418</v>
      </c>
      <c r="I155" s="174">
        <v>417500</v>
      </c>
      <c r="J155" s="175"/>
    </row>
    <row r="156" spans="1:10" x14ac:dyDescent="0.2">
      <c r="A156" s="172" t="s">
        <v>207</v>
      </c>
      <c r="B156" s="175" t="str">
        <f t="shared" si="2"/>
        <v>FALLS CHUR</v>
      </c>
      <c r="C156" s="175" t="str">
        <f t="shared" si="3"/>
        <v>843,750 ROANOKE</v>
      </c>
      <c r="G156" s="172">
        <v>152</v>
      </c>
      <c r="H156" s="172" t="s">
        <v>419</v>
      </c>
      <c r="I156" s="174">
        <v>417500</v>
      </c>
      <c r="J156" s="175"/>
    </row>
    <row r="157" spans="1:10" x14ac:dyDescent="0.2">
      <c r="A157" s="172" t="s">
        <v>208</v>
      </c>
      <c r="B157" s="175" t="str">
        <f t="shared" si="2"/>
        <v>FAUQ</v>
      </c>
      <c r="C157" s="175" t="str">
        <f t="shared" si="3"/>
        <v>843,750 ROANOKE</v>
      </c>
      <c r="G157" s="172">
        <v>153</v>
      </c>
      <c r="H157" s="172" t="s">
        <v>420</v>
      </c>
      <c r="I157" s="174">
        <v>417500</v>
      </c>
      <c r="J157" s="175"/>
    </row>
    <row r="158" spans="1:10" x14ac:dyDescent="0.2">
      <c r="A158" s="172" t="s">
        <v>209</v>
      </c>
      <c r="B158" s="175" t="str">
        <f t="shared" si="2"/>
        <v>FRED</v>
      </c>
      <c r="C158" s="175" t="str">
        <f t="shared" si="3"/>
        <v>843,750 ROANOKE</v>
      </c>
      <c r="G158" s="172">
        <v>154</v>
      </c>
      <c r="H158" s="172" t="s">
        <v>421</v>
      </c>
      <c r="I158" s="174">
        <v>417500</v>
      </c>
      <c r="J158" s="175"/>
    </row>
    <row r="159" spans="1:10" x14ac:dyDescent="0.2">
      <c r="B159" s="175"/>
      <c r="C159" s="175"/>
      <c r="G159" s="172">
        <v>155</v>
      </c>
      <c r="H159" s="172" t="s">
        <v>422</v>
      </c>
      <c r="I159" s="174">
        <v>417500</v>
      </c>
      <c r="J159" s="175"/>
    </row>
    <row r="160" spans="1:10" x14ac:dyDescent="0.2">
      <c r="A160" s="172" t="s">
        <v>210</v>
      </c>
      <c r="B160" s="175" t="str">
        <f t="shared" si="2"/>
        <v>LOUD</v>
      </c>
      <c r="C160" s="175" t="str">
        <f t="shared" si="3"/>
        <v>843,750 ROANOKE</v>
      </c>
      <c r="G160" s="172">
        <v>156</v>
      </c>
      <c r="H160" s="172" t="s">
        <v>423</v>
      </c>
      <c r="I160" s="174">
        <v>417500</v>
      </c>
      <c r="J160" s="175"/>
    </row>
    <row r="161" spans="1:10" x14ac:dyDescent="0.2">
      <c r="A161" s="172" t="s">
        <v>211</v>
      </c>
      <c r="B161" s="175" t="str">
        <f t="shared" si="2"/>
        <v>MANA</v>
      </c>
      <c r="C161" s="175" t="str">
        <f t="shared" si="3"/>
        <v>843,750 ROANOKE</v>
      </c>
      <c r="G161" s="172">
        <v>157</v>
      </c>
      <c r="H161" s="172" t="s">
        <v>424</v>
      </c>
      <c r="I161" s="174">
        <v>417500</v>
      </c>
      <c r="J161" s="175"/>
    </row>
    <row r="162" spans="1:10" x14ac:dyDescent="0.2">
      <c r="A162" s="172" t="s">
        <v>212</v>
      </c>
      <c r="B162" s="175" t="str">
        <f t="shared" si="2"/>
        <v>MANASSAS PARK</v>
      </c>
      <c r="C162" s="175" t="str">
        <f t="shared" si="3"/>
        <v>843,750 ROANOKE</v>
      </c>
      <c r="G162" s="172">
        <v>158</v>
      </c>
      <c r="H162" s="172" t="s">
        <v>425</v>
      </c>
      <c r="I162" s="174">
        <v>417500</v>
      </c>
      <c r="J162" s="175"/>
    </row>
    <row r="163" spans="1:10" x14ac:dyDescent="0.2">
      <c r="A163" s="172" t="s">
        <v>213</v>
      </c>
      <c r="B163" s="175" t="str">
        <f t="shared" si="2"/>
        <v>PRINCE WILL</v>
      </c>
      <c r="C163" s="175" t="str">
        <f t="shared" si="3"/>
        <v>843,750 ROANOKE</v>
      </c>
      <c r="G163" s="172">
        <v>159</v>
      </c>
      <c r="H163" s="172" t="s">
        <v>426</v>
      </c>
      <c r="I163" s="174">
        <v>417500</v>
      </c>
      <c r="J163" s="175"/>
    </row>
    <row r="164" spans="1:10" x14ac:dyDescent="0.2">
      <c r="B164" s="175"/>
      <c r="C164" s="175"/>
      <c r="G164" s="172">
        <v>160</v>
      </c>
      <c r="H164" s="172" t="s">
        <v>427</v>
      </c>
      <c r="I164" s="174">
        <v>417500</v>
      </c>
      <c r="J164" s="175"/>
    </row>
    <row r="165" spans="1:10" x14ac:dyDescent="0.2">
      <c r="A165" s="172" t="s">
        <v>214</v>
      </c>
      <c r="B165" s="175" t="str">
        <f t="shared" si="2"/>
        <v>SPOT</v>
      </c>
      <c r="C165" s="175" t="str">
        <f t="shared" si="3"/>
        <v>843,750 ROANOKE</v>
      </c>
      <c r="G165" s="172">
        <v>161</v>
      </c>
      <c r="H165" s="172" t="s">
        <v>483</v>
      </c>
      <c r="I165" s="174">
        <v>600300</v>
      </c>
      <c r="J165" s="175"/>
    </row>
    <row r="166" spans="1:10" x14ac:dyDescent="0.2">
      <c r="A166" s="172" t="s">
        <v>215</v>
      </c>
      <c r="B166" s="175" t="str">
        <f t="shared" si="2"/>
        <v>STAF</v>
      </c>
      <c r="C166" s="175" t="str">
        <f t="shared" si="3"/>
        <v>843,750 ROANOKE</v>
      </c>
      <c r="G166" s="172">
        <v>162</v>
      </c>
      <c r="H166" s="172" t="s">
        <v>333</v>
      </c>
      <c r="I166" s="174">
        <v>606250</v>
      </c>
      <c r="J166" s="175"/>
    </row>
    <row r="167" spans="1:10" x14ac:dyDescent="0.2">
      <c r="A167" s="172" t="s">
        <v>216</v>
      </c>
      <c r="B167" s="175" t="str">
        <f t="shared" si="2"/>
        <v>WARR</v>
      </c>
      <c r="C167" s="175" t="str">
        <f t="shared" si="3"/>
        <v>843,750 ROANOKE</v>
      </c>
      <c r="G167" s="172">
        <v>163</v>
      </c>
      <c r="H167" s="172" t="s">
        <v>484</v>
      </c>
      <c r="I167" s="174">
        <v>600300</v>
      </c>
      <c r="J167" s="175" t="s">
        <v>227</v>
      </c>
    </row>
    <row r="168" spans="1:10" x14ac:dyDescent="0.2">
      <c r="A168" s="172" t="s">
        <v>217</v>
      </c>
      <c r="B168" s="175" t="str">
        <f t="shared" si="2"/>
        <v>ST. CROIX 625,</v>
      </c>
      <c r="C168" s="175" t="str">
        <f t="shared" si="3"/>
        <v>ST. PETERSBURG</v>
      </c>
      <c r="G168" s="172">
        <v>164</v>
      </c>
      <c r="H168" s="172" t="s">
        <v>485</v>
      </c>
      <c r="I168" s="174">
        <v>437000</v>
      </c>
      <c r="J168" s="175"/>
    </row>
    <row r="169" spans="1:10" x14ac:dyDescent="0.2">
      <c r="A169" s="172" t="s">
        <v>218</v>
      </c>
      <c r="B169" s="175" t="str">
        <f t="shared" si="2"/>
        <v>ST. JOHN,VI 630,</v>
      </c>
      <c r="C169" s="175" t="str">
        <f t="shared" si="3"/>
        <v>ST. PETERSBURG</v>
      </c>
      <c r="G169" s="172">
        <v>165</v>
      </c>
      <c r="H169" s="172" t="s">
        <v>428</v>
      </c>
      <c r="I169" s="174">
        <v>692500</v>
      </c>
      <c r="J169" s="175" t="s">
        <v>231</v>
      </c>
    </row>
    <row r="170" spans="1:10" x14ac:dyDescent="0.2">
      <c r="A170" s="172" t="s">
        <v>219</v>
      </c>
      <c r="B170" s="175" t="str">
        <f t="shared" si="2"/>
        <v>ST. THOMAS 625,</v>
      </c>
      <c r="C170" s="175" t="str">
        <f t="shared" si="3"/>
        <v>ST. PETERSBURG</v>
      </c>
      <c r="G170" s="172">
        <v>166</v>
      </c>
      <c r="H170" s="172" t="s">
        <v>486</v>
      </c>
      <c r="I170" s="174">
        <v>535900</v>
      </c>
      <c r="J170" s="175"/>
    </row>
    <row r="171" spans="1:10" x14ac:dyDescent="0.2">
      <c r="A171" s="172" t="s">
        <v>220</v>
      </c>
      <c r="B171" s="175" t="str">
        <f t="shared" si="2"/>
        <v>KING</v>
      </c>
      <c r="C171" s="175" t="str">
        <f t="shared" si="3"/>
        <v>500,000 DENVER</v>
      </c>
      <c r="G171" s="172">
        <v>167</v>
      </c>
      <c r="H171" s="172" t="s">
        <v>334</v>
      </c>
      <c r="I171" s="174">
        <v>692500</v>
      </c>
      <c r="J171" s="175" t="s">
        <v>231</v>
      </c>
    </row>
    <row r="172" spans="1:10" x14ac:dyDescent="0.2">
      <c r="A172" s="172" t="s">
        <v>221</v>
      </c>
      <c r="B172" s="175" t="str">
        <f t="shared" ref="B172:B176" si="4">MID($A172,FIND(CHAR(22),SUBSTITUTE($A172," ",CHAR(22),1))+1,FIND(CHAR(22),SUBSTITUTE($A172," ",CHAR(22),LEN($A172)-LEN(SUBSTITUTE($A172," ",""))-2))+1)</f>
        <v>PIER</v>
      </c>
      <c r="C172" s="175" t="str">
        <f t="shared" si="3"/>
        <v>500,000 DENVER</v>
      </c>
      <c r="G172" s="172">
        <v>168</v>
      </c>
      <c r="H172" s="172" t="s">
        <v>487</v>
      </c>
      <c r="I172" s="174">
        <v>437000</v>
      </c>
      <c r="J172" s="175"/>
    </row>
    <row r="173" spans="1:10" x14ac:dyDescent="0.2">
      <c r="A173" s="172" t="s">
        <v>222</v>
      </c>
      <c r="B173" s="175" t="str">
        <f t="shared" si="4"/>
        <v>SAN JUAN</v>
      </c>
      <c r="C173" s="175" t="str">
        <f t="shared" ref="C173:C176" si="5">MID($A173,FIND(CHAR(22),SUBSTITUTE($A173," ",CHAR(22),LEN($A173)-LEN(SUBSTITUTE($A173," ",""))-1))+1,255)</f>
        <v>468,750 DENVER</v>
      </c>
      <c r="G173" s="172">
        <v>169</v>
      </c>
      <c r="H173" s="172" t="s">
        <v>488</v>
      </c>
      <c r="I173" s="174">
        <v>535900</v>
      </c>
      <c r="J173" s="175"/>
    </row>
    <row r="174" spans="1:10" x14ac:dyDescent="0.2">
      <c r="A174" s="172" t="s">
        <v>223</v>
      </c>
      <c r="B174" s="175" t="str">
        <f t="shared" si="4"/>
        <v>SNOH</v>
      </c>
      <c r="C174" s="175" t="str">
        <f t="shared" si="5"/>
        <v>500,000 DENVER</v>
      </c>
      <c r="G174" s="172">
        <v>170</v>
      </c>
      <c r="H174" s="172" t="s">
        <v>489</v>
      </c>
      <c r="I174" s="174">
        <v>535900</v>
      </c>
      <c r="J174" s="175"/>
    </row>
    <row r="175" spans="1:10" x14ac:dyDescent="0.2">
      <c r="A175" s="172" t="s">
        <v>224</v>
      </c>
      <c r="B175" s="175" t="str">
        <f t="shared" si="4"/>
        <v>JEFF</v>
      </c>
      <c r="C175" s="175" t="str">
        <f t="shared" si="5"/>
        <v>843,750 ROANOKE</v>
      </c>
      <c r="G175" s="172">
        <v>171</v>
      </c>
      <c r="H175" s="172" t="s">
        <v>490</v>
      </c>
      <c r="I175" s="174">
        <v>437000</v>
      </c>
      <c r="J175" s="175"/>
    </row>
    <row r="176" spans="1:10" x14ac:dyDescent="0.2">
      <c r="A176" s="172" t="s">
        <v>225</v>
      </c>
      <c r="B176" s="175" t="str">
        <f t="shared" si="4"/>
        <v>TETO</v>
      </c>
      <c r="C176" s="175" t="str">
        <f t="shared" si="5"/>
        <v>635,000 DENVER</v>
      </c>
      <c r="G176" s="172">
        <v>172</v>
      </c>
      <c r="H176" s="172" t="s">
        <v>491</v>
      </c>
      <c r="I176" s="174">
        <v>458850</v>
      </c>
      <c r="J176" s="175"/>
    </row>
    <row r="177" spans="7:10" x14ac:dyDescent="0.2">
      <c r="G177" s="172">
        <v>173</v>
      </c>
      <c r="H177" s="172" t="s">
        <v>335</v>
      </c>
      <c r="I177" s="174">
        <v>692500</v>
      </c>
      <c r="J177" s="175" t="s">
        <v>231</v>
      </c>
    </row>
    <row r="178" spans="7:10" x14ac:dyDescent="0.2">
      <c r="G178" s="172">
        <v>174</v>
      </c>
      <c r="H178" s="172" t="s">
        <v>492</v>
      </c>
      <c r="I178" s="174">
        <v>535900</v>
      </c>
      <c r="J178" s="175"/>
    </row>
    <row r="179" spans="7:10" x14ac:dyDescent="0.2">
      <c r="G179" s="172">
        <v>175</v>
      </c>
      <c r="H179" s="172" t="s">
        <v>429</v>
      </c>
      <c r="I179" s="174">
        <v>692500</v>
      </c>
      <c r="J179" s="175"/>
    </row>
    <row r="180" spans="7:10" x14ac:dyDescent="0.2">
      <c r="G180" s="172">
        <v>176</v>
      </c>
      <c r="H180" s="172" t="s">
        <v>493</v>
      </c>
      <c r="I180" s="174">
        <v>535900</v>
      </c>
      <c r="J180" s="175"/>
    </row>
    <row r="181" spans="7:10" x14ac:dyDescent="0.2">
      <c r="G181" s="172">
        <v>177</v>
      </c>
      <c r="H181" s="172" t="s">
        <v>494</v>
      </c>
      <c r="I181" s="174">
        <v>535900</v>
      </c>
      <c r="J181" s="175"/>
    </row>
    <row r="182" spans="7:10" x14ac:dyDescent="0.2">
      <c r="G182" s="172">
        <v>178</v>
      </c>
      <c r="H182" s="172" t="s">
        <v>430</v>
      </c>
      <c r="I182" s="174">
        <v>692500</v>
      </c>
      <c r="J182" s="175" t="s">
        <v>231</v>
      </c>
    </row>
    <row r="183" spans="7:10" x14ac:dyDescent="0.2">
      <c r="G183" s="172">
        <v>179</v>
      </c>
      <c r="H183" s="172" t="s">
        <v>431</v>
      </c>
      <c r="I183" s="174">
        <v>692500</v>
      </c>
      <c r="J183" s="175" t="s">
        <v>231</v>
      </c>
    </row>
    <row r="184" spans="7:10" x14ac:dyDescent="0.2">
      <c r="G184" s="172">
        <v>180</v>
      </c>
      <c r="H184" s="172" t="s">
        <v>432</v>
      </c>
      <c r="I184" s="174">
        <v>692500</v>
      </c>
      <c r="J184" s="175" t="s">
        <v>231</v>
      </c>
    </row>
    <row r="185" spans="7:10" x14ac:dyDescent="0.2">
      <c r="G185" s="172">
        <v>181</v>
      </c>
      <c r="H185" s="172" t="s">
        <v>336</v>
      </c>
      <c r="I185" s="174">
        <v>692500</v>
      </c>
      <c r="J185" s="175" t="s">
        <v>231</v>
      </c>
    </row>
    <row r="186" spans="7:10" x14ac:dyDescent="0.2">
      <c r="G186" s="172">
        <v>182</v>
      </c>
      <c r="H186" s="172" t="s">
        <v>495</v>
      </c>
      <c r="I186" s="174">
        <v>437000</v>
      </c>
      <c r="J186" s="175"/>
    </row>
    <row r="187" spans="7:10" x14ac:dyDescent="0.2">
      <c r="G187" s="172">
        <v>183</v>
      </c>
      <c r="H187" s="172" t="s">
        <v>337</v>
      </c>
      <c r="I187" s="174">
        <v>692500</v>
      </c>
      <c r="J187" s="175" t="s">
        <v>231</v>
      </c>
    </row>
    <row r="188" spans="7:10" x14ac:dyDescent="0.2">
      <c r="G188" s="172">
        <v>184</v>
      </c>
      <c r="H188" s="172" t="s">
        <v>496</v>
      </c>
      <c r="I188" s="174">
        <v>458850</v>
      </c>
      <c r="J188" s="175"/>
    </row>
    <row r="189" spans="7:10" x14ac:dyDescent="0.2">
      <c r="G189" s="172">
        <v>185</v>
      </c>
      <c r="H189" s="172" t="s">
        <v>497</v>
      </c>
      <c r="I189" s="174">
        <v>535900</v>
      </c>
      <c r="J189" s="175"/>
    </row>
    <row r="190" spans="7:10" x14ac:dyDescent="0.2">
      <c r="G190" s="172">
        <v>186</v>
      </c>
      <c r="H190" s="172" t="s">
        <v>498</v>
      </c>
      <c r="I190" s="174">
        <v>437000</v>
      </c>
      <c r="J190" s="175"/>
    </row>
    <row r="191" spans="7:10" x14ac:dyDescent="0.2">
      <c r="G191" s="172">
        <v>187</v>
      </c>
      <c r="H191" s="172" t="s">
        <v>499</v>
      </c>
      <c r="I191" s="174">
        <v>458850</v>
      </c>
      <c r="J191" s="175"/>
    </row>
    <row r="192" spans="7:10" x14ac:dyDescent="0.2">
      <c r="G192" s="172">
        <v>188</v>
      </c>
      <c r="H192" s="172" t="s">
        <v>500</v>
      </c>
      <c r="I192" s="174">
        <v>535900</v>
      </c>
      <c r="J192" s="175"/>
    </row>
    <row r="193" spans="7:10" x14ac:dyDescent="0.2">
      <c r="G193" s="172">
        <v>189</v>
      </c>
      <c r="H193" s="172" t="s">
        <v>501</v>
      </c>
      <c r="I193" s="174">
        <v>535900</v>
      </c>
      <c r="J193" s="175"/>
    </row>
    <row r="194" spans="7:10" x14ac:dyDescent="0.2">
      <c r="G194" s="172">
        <v>190</v>
      </c>
      <c r="H194" s="172" t="s">
        <v>502</v>
      </c>
      <c r="I194" s="174">
        <v>535900</v>
      </c>
      <c r="J194" s="175"/>
    </row>
    <row r="195" spans="7:10" x14ac:dyDescent="0.2">
      <c r="G195" s="172">
        <v>191</v>
      </c>
      <c r="H195" s="172" t="s">
        <v>503</v>
      </c>
      <c r="I195" s="174">
        <v>458850</v>
      </c>
      <c r="J195" s="175"/>
    </row>
    <row r="196" spans="7:10" x14ac:dyDescent="0.2">
      <c r="G196" s="172">
        <v>192</v>
      </c>
      <c r="H196" s="172" t="s">
        <v>504</v>
      </c>
      <c r="I196" s="174">
        <v>458850</v>
      </c>
      <c r="J196" s="175"/>
    </row>
    <row r="197" spans="7:10" x14ac:dyDescent="0.2">
      <c r="G197" s="172">
        <v>193</v>
      </c>
      <c r="H197" s="172" t="s">
        <v>505</v>
      </c>
      <c r="I197" s="174">
        <v>535900</v>
      </c>
      <c r="J197" s="175"/>
    </row>
    <row r="198" spans="7:10" x14ac:dyDescent="0.2">
      <c r="G198" s="172">
        <v>194</v>
      </c>
      <c r="H198" s="172" t="s">
        <v>506</v>
      </c>
      <c r="I198" s="174">
        <v>535900</v>
      </c>
      <c r="J198" s="175"/>
    </row>
    <row r="199" spans="7:10" x14ac:dyDescent="0.2">
      <c r="G199" s="172">
        <v>195</v>
      </c>
      <c r="H199" s="172" t="s">
        <v>433</v>
      </c>
      <c r="I199" s="174">
        <v>475000</v>
      </c>
      <c r="J199" s="175"/>
    </row>
    <row r="200" spans="7:10" x14ac:dyDescent="0.2">
      <c r="G200" s="172">
        <v>196</v>
      </c>
      <c r="H200" s="172" t="s">
        <v>338</v>
      </c>
      <c r="I200" s="174">
        <v>692500</v>
      </c>
      <c r="J200" s="175" t="s">
        <v>231</v>
      </c>
    </row>
    <row r="201" spans="7:10" x14ac:dyDescent="0.2">
      <c r="G201" s="172">
        <v>197</v>
      </c>
      <c r="H201" s="172" t="s">
        <v>507</v>
      </c>
      <c r="I201" s="174">
        <v>535900</v>
      </c>
      <c r="J201" s="175"/>
    </row>
    <row r="202" spans="7:10" x14ac:dyDescent="0.2">
      <c r="G202" s="172">
        <v>198</v>
      </c>
      <c r="H202" s="172" t="s">
        <v>434</v>
      </c>
      <c r="I202" s="174">
        <v>692500</v>
      </c>
      <c r="J202" s="175" t="s">
        <v>231</v>
      </c>
    </row>
    <row r="203" spans="7:10" x14ac:dyDescent="0.2">
      <c r="G203" s="172">
        <v>199</v>
      </c>
      <c r="H203" s="172" t="s">
        <v>247</v>
      </c>
      <c r="I203" s="174">
        <v>692500</v>
      </c>
      <c r="J203" s="175" t="s">
        <v>231</v>
      </c>
    </row>
    <row r="204" spans="7:10" x14ac:dyDescent="0.2">
      <c r="G204" s="172">
        <v>200</v>
      </c>
      <c r="H204" s="172" t="s">
        <v>508</v>
      </c>
      <c r="I204" s="174">
        <v>458850</v>
      </c>
      <c r="J204" s="175"/>
    </row>
    <row r="205" spans="7:10" x14ac:dyDescent="0.2">
      <c r="G205" s="172">
        <v>201</v>
      </c>
      <c r="H205" s="172" t="s">
        <v>509</v>
      </c>
      <c r="I205" s="174">
        <v>437000</v>
      </c>
      <c r="J205" s="175"/>
    </row>
    <row r="206" spans="7:10" x14ac:dyDescent="0.2">
      <c r="G206" s="172">
        <v>202</v>
      </c>
      <c r="H206" s="172" t="s">
        <v>510</v>
      </c>
      <c r="I206" s="174">
        <v>535900</v>
      </c>
      <c r="J206" s="175"/>
    </row>
    <row r="207" spans="7:10" x14ac:dyDescent="0.2">
      <c r="G207" s="172">
        <v>203</v>
      </c>
      <c r="H207" s="172" t="s">
        <v>511</v>
      </c>
      <c r="I207" s="174">
        <v>458850</v>
      </c>
      <c r="J207" s="175"/>
    </row>
    <row r="208" spans="7:10" x14ac:dyDescent="0.2">
      <c r="G208" s="172">
        <v>204</v>
      </c>
      <c r="H208" s="172" t="s">
        <v>512</v>
      </c>
      <c r="I208" s="174">
        <v>458850</v>
      </c>
      <c r="J208" s="175"/>
    </row>
    <row r="209" spans="7:10" x14ac:dyDescent="0.2">
      <c r="G209" s="172">
        <v>205</v>
      </c>
      <c r="H209" s="172" t="s">
        <v>513</v>
      </c>
      <c r="I209" s="174">
        <v>535900</v>
      </c>
      <c r="J209" s="175"/>
    </row>
    <row r="210" spans="7:10" x14ac:dyDescent="0.2">
      <c r="G210" s="172">
        <v>206</v>
      </c>
      <c r="H210" s="172" t="s">
        <v>514</v>
      </c>
      <c r="I210" s="174">
        <v>458850</v>
      </c>
      <c r="J210" s="175"/>
    </row>
    <row r="211" spans="7:10" x14ac:dyDescent="0.2">
      <c r="G211" s="172">
        <v>207</v>
      </c>
      <c r="H211" s="172" t="s">
        <v>515</v>
      </c>
      <c r="I211" s="174">
        <v>458850</v>
      </c>
      <c r="J211" s="175"/>
    </row>
    <row r="212" spans="7:10" x14ac:dyDescent="0.2">
      <c r="G212" s="172">
        <v>208</v>
      </c>
      <c r="H212" s="172" t="s">
        <v>516</v>
      </c>
      <c r="I212" s="174">
        <v>535900</v>
      </c>
      <c r="J212" s="175"/>
    </row>
    <row r="213" spans="7:10" x14ac:dyDescent="0.2">
      <c r="G213" s="172">
        <v>209</v>
      </c>
      <c r="H213" s="172" t="s">
        <v>517</v>
      </c>
      <c r="I213" s="174">
        <v>535900</v>
      </c>
      <c r="J213" s="175"/>
    </row>
    <row r="214" spans="7:10" x14ac:dyDescent="0.2">
      <c r="G214" s="172">
        <v>210</v>
      </c>
      <c r="H214" s="172" t="s">
        <v>339</v>
      </c>
      <c r="I214" s="174">
        <v>692500</v>
      </c>
      <c r="J214" s="175" t="s">
        <v>231</v>
      </c>
    </row>
    <row r="215" spans="7:10" x14ac:dyDescent="0.2">
      <c r="G215" s="172">
        <v>211</v>
      </c>
      <c r="H215" s="172" t="s">
        <v>435</v>
      </c>
      <c r="I215" s="174">
        <v>692500</v>
      </c>
      <c r="J215" s="175"/>
    </row>
    <row r="216" spans="7:10" x14ac:dyDescent="0.2">
      <c r="G216" s="172">
        <v>212</v>
      </c>
      <c r="H216" s="172" t="s">
        <v>518</v>
      </c>
      <c r="I216" s="174">
        <v>535900</v>
      </c>
      <c r="J216" s="175"/>
    </row>
    <row r="217" spans="7:10" x14ac:dyDescent="0.2">
      <c r="G217" s="172">
        <v>213</v>
      </c>
      <c r="H217" s="172" t="s">
        <v>340</v>
      </c>
      <c r="I217" s="174">
        <v>692500</v>
      </c>
      <c r="J217" s="175" t="s">
        <v>231</v>
      </c>
    </row>
    <row r="218" spans="7:10" x14ac:dyDescent="0.2">
      <c r="G218" s="172">
        <v>214</v>
      </c>
      <c r="H218" s="172" t="s">
        <v>341</v>
      </c>
      <c r="I218" s="174">
        <v>692500</v>
      </c>
      <c r="J218" s="175" t="s">
        <v>231</v>
      </c>
    </row>
    <row r="219" spans="7:10" x14ac:dyDescent="0.2">
      <c r="G219" s="172">
        <v>215</v>
      </c>
      <c r="H219" s="172" t="s">
        <v>519</v>
      </c>
      <c r="I219" s="174">
        <v>458850</v>
      </c>
      <c r="J219" s="175"/>
    </row>
    <row r="220" spans="7:10" x14ac:dyDescent="0.2">
      <c r="G220" s="172">
        <v>216</v>
      </c>
      <c r="H220" s="172" t="s">
        <v>520</v>
      </c>
      <c r="I220" s="174">
        <v>458850</v>
      </c>
      <c r="J220" s="175"/>
    </row>
    <row r="221" spans="7:10" x14ac:dyDescent="0.2">
      <c r="G221" s="172">
        <v>217</v>
      </c>
      <c r="H221" s="172" t="s">
        <v>521</v>
      </c>
      <c r="I221" s="174">
        <v>535900</v>
      </c>
      <c r="J221" s="175"/>
    </row>
    <row r="222" spans="7:10" x14ac:dyDescent="0.2">
      <c r="G222" s="172">
        <v>218</v>
      </c>
      <c r="H222" s="172" t="s">
        <v>522</v>
      </c>
      <c r="I222" s="174">
        <v>458850</v>
      </c>
      <c r="J222" s="175"/>
    </row>
    <row r="223" spans="7:10" x14ac:dyDescent="0.2">
      <c r="G223" s="172">
        <v>219</v>
      </c>
      <c r="H223" s="172" t="s">
        <v>342</v>
      </c>
      <c r="I223" s="174">
        <v>692500</v>
      </c>
      <c r="J223" s="175" t="s">
        <v>231</v>
      </c>
    </row>
    <row r="224" spans="7:10" x14ac:dyDescent="0.2">
      <c r="G224" s="172">
        <v>220</v>
      </c>
      <c r="H224" s="172" t="s">
        <v>523</v>
      </c>
      <c r="I224" s="174">
        <v>458850</v>
      </c>
      <c r="J224" s="175"/>
    </row>
    <row r="225" spans="7:10" x14ac:dyDescent="0.2">
      <c r="G225" s="172">
        <v>221</v>
      </c>
      <c r="H225" s="172" t="s">
        <v>524</v>
      </c>
      <c r="I225" s="174">
        <v>458850</v>
      </c>
      <c r="J225" s="175"/>
    </row>
    <row r="226" spans="7:10" x14ac:dyDescent="0.2">
      <c r="G226" s="172">
        <v>222</v>
      </c>
      <c r="H226" s="172" t="s">
        <v>436</v>
      </c>
      <c r="I226" s="174">
        <v>625500</v>
      </c>
      <c r="J226" s="175" t="s">
        <v>228</v>
      </c>
    </row>
    <row r="227" spans="7:10" x14ac:dyDescent="0.2">
      <c r="G227" s="172">
        <v>223</v>
      </c>
      <c r="H227" s="172" t="s">
        <v>437</v>
      </c>
      <c r="I227" s="174">
        <v>625500</v>
      </c>
      <c r="J227" s="175" t="s">
        <v>228</v>
      </c>
    </row>
    <row r="228" spans="7:10" x14ac:dyDescent="0.2">
      <c r="G228" s="172">
        <v>224</v>
      </c>
      <c r="H228" s="172" t="s">
        <v>438</v>
      </c>
      <c r="I228" s="174">
        <v>625500</v>
      </c>
      <c r="J228" s="175" t="s">
        <v>228</v>
      </c>
    </row>
    <row r="229" spans="7:10" x14ac:dyDescent="0.2">
      <c r="G229" s="172">
        <v>225</v>
      </c>
      <c r="H229" s="172" t="s">
        <v>248</v>
      </c>
      <c r="I229" s="174">
        <v>506000</v>
      </c>
      <c r="J229" s="175" t="s">
        <v>227</v>
      </c>
    </row>
    <row r="230" spans="7:10" x14ac:dyDescent="0.2">
      <c r="G230" s="172">
        <v>226</v>
      </c>
      <c r="H230" s="172" t="s">
        <v>343</v>
      </c>
      <c r="I230" s="174">
        <v>506000</v>
      </c>
      <c r="J230" s="175" t="s">
        <v>227</v>
      </c>
    </row>
    <row r="231" spans="7:10" x14ac:dyDescent="0.2">
      <c r="G231" s="172">
        <v>227</v>
      </c>
      <c r="H231" s="172" t="s">
        <v>249</v>
      </c>
      <c r="I231" s="174">
        <v>483000</v>
      </c>
      <c r="J231" s="175" t="s">
        <v>227</v>
      </c>
    </row>
    <row r="232" spans="7:10" x14ac:dyDescent="0.2">
      <c r="G232" s="172">
        <v>228</v>
      </c>
      <c r="H232" s="172" t="s">
        <v>344</v>
      </c>
      <c r="I232" s="174">
        <v>506000</v>
      </c>
      <c r="J232" s="175" t="s">
        <v>227</v>
      </c>
    </row>
    <row r="233" spans="7:10" x14ac:dyDescent="0.2">
      <c r="G233" s="172">
        <v>229</v>
      </c>
      <c r="H233" s="172" t="s">
        <v>345</v>
      </c>
      <c r="I233" s="174">
        <v>692500</v>
      </c>
      <c r="J233" s="175" t="s">
        <v>231</v>
      </c>
    </row>
    <row r="234" spans="7:10" x14ac:dyDescent="0.2">
      <c r="G234" s="172">
        <v>230</v>
      </c>
      <c r="H234" s="172" t="s">
        <v>346</v>
      </c>
      <c r="I234" s="174">
        <v>630000</v>
      </c>
      <c r="J234" s="175" t="s">
        <v>227</v>
      </c>
    </row>
  </sheetData>
  <dataValidations count="2">
    <dataValidation type="list" allowBlank="1" showInputMessage="1" showErrorMessage="1" sqref="L4">
      <formula1>#REF!</formula1>
    </dataValidation>
    <dataValidation type="list" allowBlank="1" showInputMessage="1" showErrorMessage="1" sqref="K4">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A990B808CBC049AD1ED70E88C689AE" ma:contentTypeVersion="10" ma:contentTypeDescription="Create a new document." ma:contentTypeScope="" ma:versionID="14239cc30665505fd266ecbc5a41e179">
  <xsd:schema xmlns:xsd="http://www.w3.org/2001/XMLSchema" xmlns:xs="http://www.w3.org/2001/XMLSchema" xmlns:p="http://schemas.microsoft.com/office/2006/metadata/properties" xmlns:ns2="50fae60e-a2d6-473f-a835-9bedee908d52" xmlns:ns3="bafb590b-4203-4ad7-ab29-97606933e6b0" targetNamespace="http://schemas.microsoft.com/office/2006/metadata/properties" ma:root="true" ma:fieldsID="ce22e6f27082acf1896c2a2eb656f304" ns2:_="" ns3:_="">
    <xsd:import namespace="50fae60e-a2d6-473f-a835-9bedee908d52"/>
    <xsd:import namespace="bafb590b-4203-4ad7-ab29-97606933e6b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fae60e-a2d6-473f-a835-9bedee908d5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fb590b-4203-4ad7-ab29-97606933e6b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FA21E6-87CD-4E4C-B92D-634AE2E13663}"/>
</file>

<file path=customXml/itemProps2.xml><?xml version="1.0" encoding="utf-8"?>
<ds:datastoreItem xmlns:ds="http://schemas.openxmlformats.org/officeDocument/2006/customXml" ds:itemID="{6FE6068E-F8CD-44D8-B11D-37378FD73B62}"/>
</file>

<file path=customXml/itemProps3.xml><?xml version="1.0" encoding="utf-8"?>
<ds:datastoreItem xmlns:ds="http://schemas.openxmlformats.org/officeDocument/2006/customXml" ds:itemID="{E85925DD-3F34-43C7-B771-26F90FF747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IRRRL</vt:lpstr>
      <vt:lpstr>Purchase</vt:lpstr>
      <vt:lpstr>Cash-Out</vt:lpstr>
      <vt:lpstr>County Loan Limits</vt:lpstr>
      <vt:lpstr>CASHEX</vt:lpstr>
      <vt:lpstr>FIRST</vt:lpstr>
      <vt:lpstr>FIRSTC</vt:lpstr>
      <vt:lpstr>FIRSTTIME</vt:lpstr>
      <vt:lpstr>IRRRL!Print_Area</vt:lpstr>
      <vt:lpstr>PUREX</vt:lpstr>
      <vt:lpstr>REGMIL</vt:lpstr>
      <vt:lpstr>REGMILC</vt:lpstr>
    </vt:vector>
  </TitlesOfParts>
  <Company>Countrywide Home Loans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ljohnstu</dc:creator>
  <cp:lastModifiedBy>SMP</cp:lastModifiedBy>
  <cp:lastPrinted>2014-02-05T21:12:16Z</cp:lastPrinted>
  <dcterms:created xsi:type="dcterms:W3CDTF">2009-01-13T23:10:30Z</dcterms:created>
  <dcterms:modified xsi:type="dcterms:W3CDTF">2015-12-10T19:56:53Z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0x01010007A990B808CBC049AD1ED70E88C689AE</vt:lpwstr>
  </property>
</Properties>
</file>