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/>
  <mc:AlternateContent xmlns:mc="http://schemas.openxmlformats.org/markup-compatibility/2006">
    <mc:Choice Requires="x15">
      <x15ac:absPath xmlns:x15ac="http://schemas.microsoft.com/office/spreadsheetml/2010/11/ac" url="/Users/lucirix/Desktop/Working docs/"/>
    </mc:Choice>
  </mc:AlternateContent>
  <xr:revisionPtr revIDLastSave="0" documentId="13_ncr:1_{47394A48-6442-7748-A602-9FC90AD2B559}" xr6:coauthVersionLast="36" xr6:coauthVersionMax="36" xr10:uidLastSave="{00000000-0000-0000-0000-000000000000}"/>
  <bookViews>
    <workbookView xWindow="0" yWindow="460" windowWidth="28800" windowHeight="16180" tabRatio="500" xr2:uid="{00000000-000D-0000-FFFF-FFFF00000000}"/>
  </bookViews>
  <sheets>
    <sheet name="Budget" sheetId="7" r:id="rId1"/>
    <sheet name="2018-19 Salary Forecast" sheetId="6" r:id="rId2"/>
    <sheet name="Pay Scale" sheetId="8" r:id="rId3"/>
  </sheets>
  <definedNames>
    <definedName name="_xlnm.Print_Area" localSheetId="0">Budget!$A$1:$E$40</definedName>
  </definedName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4" i="7" l="1"/>
  <c r="K5" i="7"/>
  <c r="K6" i="7"/>
  <c r="K4" i="7"/>
  <c r="J6" i="7"/>
  <c r="D6" i="7" s="1"/>
  <c r="F6" i="7" s="1"/>
  <c r="G6" i="7"/>
  <c r="D7" i="7"/>
  <c r="F7" i="7" s="1"/>
  <c r="F18" i="8"/>
  <c r="E18" i="8"/>
  <c r="F16" i="8"/>
  <c r="E16" i="8"/>
  <c r="E5" i="8"/>
  <c r="E8" i="8"/>
  <c r="D6" i="8"/>
  <c r="D5" i="8"/>
  <c r="O7" i="6"/>
  <c r="O6" i="6"/>
  <c r="D27" i="7"/>
  <c r="J5" i="7"/>
  <c r="D5" i="7" s="1"/>
  <c r="F5" i="7" s="1"/>
  <c r="J4" i="7"/>
  <c r="D4" i="7" s="1"/>
  <c r="F12" i="7"/>
  <c r="G5" i="7"/>
  <c r="G4" i="7"/>
  <c r="L3" i="6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5" i="6"/>
  <c r="M25" i="6" s="1"/>
  <c r="P6" i="6"/>
  <c r="P7" i="6"/>
  <c r="G25" i="6"/>
  <c r="H25" i="6"/>
  <c r="L1" i="6"/>
  <c r="F27" i="7"/>
  <c r="O27" i="7"/>
  <c r="O28" i="7"/>
  <c r="O30" i="7"/>
  <c r="N9" i="7"/>
  <c r="N11" i="7"/>
  <c r="N13" i="7"/>
  <c r="N14" i="7"/>
  <c r="N30" i="7" s="1"/>
  <c r="D36" i="7" s="1"/>
  <c r="F36" i="7" s="1"/>
  <c r="N21" i="7"/>
  <c r="N22" i="7"/>
  <c r="D23" i="7"/>
  <c r="D24" i="7"/>
  <c r="M23" i="6"/>
  <c r="M20" i="6"/>
  <c r="M17" i="6"/>
  <c r="M14" i="6"/>
  <c r="M11" i="6"/>
  <c r="M8" i="6"/>
  <c r="M5" i="6"/>
  <c r="O4" i="6"/>
  <c r="P4" i="6" s="1"/>
  <c r="D13" i="7"/>
  <c r="F11" i="7"/>
  <c r="D20" i="7"/>
  <c r="F20" i="7" s="1"/>
  <c r="D8" i="7"/>
  <c r="F8" i="7" s="1"/>
  <c r="D9" i="7"/>
  <c r="F9" i="7"/>
  <c r="F10" i="7"/>
  <c r="F14" i="7"/>
  <c r="F13" i="7"/>
  <c r="F17" i="7"/>
  <c r="F23" i="7"/>
  <c r="F24" i="7"/>
  <c r="F25" i="7"/>
  <c r="F26" i="7"/>
  <c r="F28" i="7"/>
  <c r="F29" i="7"/>
  <c r="F30" i="7"/>
  <c r="F31" i="7"/>
  <c r="F32" i="7"/>
  <c r="F33" i="7"/>
  <c r="F34" i="7"/>
  <c r="F35" i="7"/>
  <c r="J25" i="6"/>
  <c r="D16" i="7" l="1"/>
  <c r="F4" i="7"/>
  <c r="D37" i="7"/>
  <c r="F37" i="7" s="1"/>
  <c r="L26" i="6"/>
  <c r="P3" i="6" l="1"/>
  <c r="P5" i="6"/>
  <c r="P2" i="6"/>
  <c r="P9" i="6" s="1"/>
  <c r="F16" i="7"/>
  <c r="P11" i="6" l="1"/>
  <c r="P10" i="6"/>
  <c r="P13" i="6" s="1"/>
  <c r="P15" i="6" l="1"/>
  <c r="P16" i="6"/>
  <c r="P18" i="6"/>
  <c r="L27" i="6" s="1"/>
  <c r="L28" i="6" s="1"/>
  <c r="D19" i="7" s="1"/>
  <c r="D21" i="7" l="1"/>
  <c r="F19" i="7"/>
  <c r="B19" i="7"/>
  <c r="F21" i="7" l="1"/>
  <c r="D38" i="7"/>
  <c r="F38" i="7" l="1"/>
  <c r="D40" i="7"/>
  <c r="F40" i="7" s="1"/>
</calcChain>
</file>

<file path=xl/sharedStrings.xml><?xml version="1.0" encoding="utf-8"?>
<sst xmlns="http://schemas.openxmlformats.org/spreadsheetml/2006/main" count="177" uniqueCount="143">
  <si>
    <t>Super</t>
  </si>
  <si>
    <t>Annual Leave</t>
  </si>
  <si>
    <t>Annual</t>
  </si>
  <si>
    <t>Workers Comp</t>
  </si>
  <si>
    <t>Staff Costs</t>
  </si>
  <si>
    <t>4/52</t>
  </si>
  <si>
    <t>Repairs &amp; Maintenance</t>
  </si>
  <si>
    <t>Insurance</t>
  </si>
  <si>
    <t>Training Courses</t>
  </si>
  <si>
    <t>Rent</t>
  </si>
  <si>
    <t>Interest</t>
  </si>
  <si>
    <t>Surplus</t>
  </si>
  <si>
    <t>Other</t>
  </si>
  <si>
    <t>Start</t>
  </si>
  <si>
    <t>Finish</t>
  </si>
  <si>
    <t>Total hours</t>
  </si>
  <si>
    <t>Hourly Rate</t>
  </si>
  <si>
    <t>Gross Pay</t>
  </si>
  <si>
    <t>Day</t>
  </si>
  <si>
    <t>House Manager Salary &amp; Allowances</t>
  </si>
  <si>
    <t>weekly</t>
  </si>
  <si>
    <t>Day Programs Closed (6 hrs per day x 20 days)</t>
  </si>
  <si>
    <t>9am</t>
  </si>
  <si>
    <t>Thursday - Staff  1</t>
  </si>
  <si>
    <t>Friday - Staff 1</t>
  </si>
  <si>
    <t>Saturday - Staff 1</t>
  </si>
  <si>
    <t>Sunday - Staff  1</t>
  </si>
  <si>
    <t>Monday - Staff 1</t>
  </si>
  <si>
    <t>Tuesday - Staff 1</t>
  </si>
  <si>
    <t>Wednesday - Staff 1</t>
  </si>
  <si>
    <r>
      <t>Sick Days (10/365 days X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rgb="FF92D050"/>
        <rFont val="Calibri"/>
        <family val="2"/>
        <scheme val="minor"/>
      </rPr>
      <t>L20</t>
    </r>
    <r>
      <rPr>
        <sz val="12"/>
        <color theme="1"/>
        <rFont val="Calibri"/>
        <family val="2"/>
        <scheme val="minor"/>
      </rPr>
      <t>)</t>
    </r>
  </si>
  <si>
    <t>10pm to 6am</t>
  </si>
  <si>
    <t xml:space="preserve"> 6am to 10pm</t>
  </si>
  <si>
    <t>Thursday - Staff  2</t>
  </si>
  <si>
    <t>Friday - Staff 2</t>
  </si>
  <si>
    <t>Saturday - Staff 2</t>
  </si>
  <si>
    <t>Sunday - Staff  2</t>
  </si>
  <si>
    <t>Monday - Staff 2</t>
  </si>
  <si>
    <t>Tuesday - Staff 2</t>
  </si>
  <si>
    <t>Wednesday - Staff 2</t>
  </si>
  <si>
    <t>Loadings multiplier</t>
  </si>
  <si>
    <t>LSL</t>
  </si>
  <si>
    <t>1/52</t>
  </si>
  <si>
    <t>Client living expenses</t>
  </si>
  <si>
    <t xml:space="preserve">IT </t>
  </si>
  <si>
    <t>MV</t>
  </si>
  <si>
    <t>Other Operating Costs</t>
  </si>
  <si>
    <t>Regular Roster</t>
  </si>
  <si>
    <t>Annually</t>
  </si>
  <si>
    <t>Fortnight</t>
  </si>
  <si>
    <t>Income</t>
  </si>
  <si>
    <t>SILC House Budget Template</t>
  </si>
  <si>
    <t>Payroll Administration - SILC</t>
  </si>
  <si>
    <t>Service Provider  -SILC</t>
  </si>
  <si>
    <t xml:space="preserve">Audit / Accounting </t>
  </si>
  <si>
    <t>per week</t>
  </si>
  <si>
    <t>per quarter</t>
  </si>
  <si>
    <t>per fortnight</t>
  </si>
  <si>
    <t>Utilities (Electricity gas and water)</t>
  </si>
  <si>
    <t xml:space="preserve">Filing fees - ACNC / Fair trading </t>
  </si>
  <si>
    <t>SILC corporate membership</t>
  </si>
  <si>
    <t>annual</t>
  </si>
  <si>
    <t>TOTAL</t>
  </si>
  <si>
    <t>Subtotal - other operating costs</t>
  </si>
  <si>
    <t>Monthly</t>
  </si>
  <si>
    <t># staff</t>
  </si>
  <si>
    <t xml:space="preserve">Transport allowance if paid to House </t>
  </si>
  <si>
    <t>Other e.g. Maternity Leave</t>
  </si>
  <si>
    <t>Thursday - Staff  3</t>
  </si>
  <si>
    <t>Friday - Staff 3</t>
  </si>
  <si>
    <t>Saturday - Staff 3</t>
  </si>
  <si>
    <t>Sunday - Staff  3</t>
  </si>
  <si>
    <t>Monday - Staff 3</t>
  </si>
  <si>
    <t>Tuesday - Staff 3</t>
  </si>
  <si>
    <t>Wednesday - Staff 3</t>
  </si>
  <si>
    <t>Meetings &amp; Training hours pa</t>
  </si>
  <si>
    <t>Buddy Shifts hours pa</t>
  </si>
  <si>
    <r>
      <t>Public Holidays 11/365 days X</t>
    </r>
    <r>
      <rPr>
        <b/>
        <sz val="12"/>
        <color rgb="FF92D050"/>
        <rFont val="Calibri"/>
        <family val="2"/>
        <scheme val="minor"/>
      </rPr>
      <t xml:space="preserve"> P2</t>
    </r>
    <r>
      <rPr>
        <sz val="12"/>
        <color theme="1"/>
        <rFont val="Calibri"/>
        <family val="2"/>
        <scheme val="minor"/>
      </rPr>
      <t xml:space="preserve"> X O3</t>
    </r>
  </si>
  <si>
    <t>O3=PH time at House</t>
  </si>
  <si>
    <t>Audit</t>
  </si>
  <si>
    <t>Bank Charges</t>
  </si>
  <si>
    <t>Bookkeeping/Accounting</t>
  </si>
  <si>
    <t>Cleaning Materials &amp; Gardening</t>
  </si>
  <si>
    <t>Client Living Costs</t>
  </si>
  <si>
    <t>Community Access</t>
  </si>
  <si>
    <t>Depreciation</t>
  </si>
  <si>
    <t>Electricity &amp; Gas</t>
  </si>
  <si>
    <t>Furniture &amp; Equipment</t>
  </si>
  <si>
    <t>IT Support</t>
  </si>
  <si>
    <t>Motor Vehicle Expenses</t>
  </si>
  <si>
    <t>Membership SILC</t>
  </si>
  <si>
    <t>Other Expenses</t>
  </si>
  <si>
    <t>Printing &amp; Stationery</t>
  </si>
  <si>
    <t>Registration Fees</t>
  </si>
  <si>
    <t>SILC SIL Fees</t>
  </si>
  <si>
    <t>Transport Service</t>
  </si>
  <si>
    <t>Transport Reimbursement</t>
  </si>
  <si>
    <t>Water Rates</t>
  </si>
  <si>
    <t>Transport expenses</t>
  </si>
  <si>
    <t>6am</t>
  </si>
  <si>
    <t>fortnight</t>
  </si>
  <si>
    <t>casual</t>
  </si>
  <si>
    <t>Expires</t>
  </si>
  <si>
    <t>Weekly</t>
  </si>
  <si>
    <t>SIL Amount</t>
  </si>
  <si>
    <t>Indexed SIL Amount</t>
  </si>
  <si>
    <t>Complex</t>
  </si>
  <si>
    <t>Standard</t>
  </si>
  <si>
    <t>2017-18</t>
  </si>
  <si>
    <t>Core</t>
  </si>
  <si>
    <t>SILC House Salary Budget Template 2018-19</t>
  </si>
  <si>
    <t>SILC Pay Scales</t>
  </si>
  <si>
    <t>Weekday</t>
  </si>
  <si>
    <t>Saturday</t>
  </si>
  <si>
    <t>Sunday</t>
  </si>
  <si>
    <t>Public holiday</t>
  </si>
  <si>
    <t>Hours</t>
  </si>
  <si>
    <t>Ordinary</t>
  </si>
  <si>
    <t>6am - 10pm</t>
  </si>
  <si>
    <t>SILC Level 1</t>
  </si>
  <si>
    <t>SILC Level 2</t>
  </si>
  <si>
    <t>SILC Level 3</t>
  </si>
  <si>
    <t>Casual Level 1</t>
  </si>
  <si>
    <t>Casual Level 2</t>
  </si>
  <si>
    <t>Casual Level 3</t>
  </si>
  <si>
    <t>Mon - Thu</t>
  </si>
  <si>
    <t>Fri-Sun &amp; PH</t>
  </si>
  <si>
    <t>10pm - 6am</t>
  </si>
  <si>
    <t xml:space="preserve">                   Active Overnights</t>
  </si>
  <si>
    <t xml:space="preserve">                    Sleepover</t>
  </si>
  <si>
    <t>NDIS SIL Funding- Participant 1</t>
  </si>
  <si>
    <t>NDIS SIL Funding- Participant 2</t>
  </si>
  <si>
    <t>NDIS SIL Funding- Participant 3</t>
  </si>
  <si>
    <t>DSP Contribution - Participant 1</t>
  </si>
  <si>
    <t>DSP Contribution - Participant 2</t>
  </si>
  <si>
    <t>DSP Contribution - Participant 3</t>
  </si>
  <si>
    <t>Other - eg. CP or FACS Participant 1</t>
  </si>
  <si>
    <t>Other - eg. CP or FACS Participant 2</t>
  </si>
  <si>
    <t>Other - eg. CP or FACS Participant 3</t>
  </si>
  <si>
    <t>suggest $100 per Participant per week</t>
  </si>
  <si>
    <t>Expenses</t>
  </si>
  <si>
    <t>Indexation Complex</t>
  </si>
  <si>
    <t>Indexation 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</si>
</sst>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8" formatCode="&quot;$&quot;#,##0.00_);[Red]\(&quot;$&quot;#,##0.00\)"/>
    <numFmt numFmtId="164" formatCode="&quot;$&quot;#,##0.00;[Red]\-&quot;$&quot;#,##0.00"/>
    <numFmt numFmtId="165" formatCode="&quot;$&quot;#,##0.00"/>
    <numFmt numFmtId="166" formatCode="[$-F800]dddd\,\ mmmm\ dd\,\ yyyy"/>
    <numFmt numFmtId="167" formatCode="[$-409]h:mm:ss\ AM/PM;@"/>
    <numFmt numFmtId="168" formatCode="0.000%"/>
    <numFmt numFmtId="169" formatCode="&quot;$&quot;#,##0"/>
    <numFmt numFmtId="170" formatCode="[$$-45C]#,##0.00"/>
    <numFmt numFmtId="171" formatCode="0.0000"/>
  </numFmts>
  <fonts count="1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92D05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indexed="8"/>
      <name val="Arial"/>
      <family val="2"/>
    </font>
    <font>
      <sz val="12"/>
      <color rgb="FF000000"/>
      <name val="Calibri"/>
      <family val="2"/>
      <scheme val="minor"/>
    </font>
    <font>
      <sz val="12"/>
      <color rgb="FF222222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EEECE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rgb="FF00FA00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2">
    <xf numFmtId="0" fontId="0" fillId="0" borderId="0" xfId="0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5" fontId="0" fillId="0" borderId="0" xfId="0" applyNumberFormat="1" applyFont="1"/>
    <xf numFmtId="0" fontId="0" fillId="3" borderId="0" xfId="0" applyNumberFormat="1" applyFont="1" applyFill="1" applyAlignment="1">
      <alignment horizontal="center"/>
    </xf>
    <xf numFmtId="0" fontId="0" fillId="0" borderId="0" xfId="0" applyFont="1" applyBorder="1"/>
    <xf numFmtId="0" fontId="0" fillId="3" borderId="0" xfId="0" applyFont="1" applyFill="1" applyAlignment="1">
      <alignment horizontal="center"/>
    </xf>
    <xf numFmtId="165" fontId="0" fillId="0" borderId="0" xfId="0" applyNumberFormat="1" applyFont="1" applyBorder="1"/>
    <xf numFmtId="165" fontId="0" fillId="0" borderId="8" xfId="0" applyNumberFormat="1" applyFont="1" applyBorder="1"/>
    <xf numFmtId="49" fontId="0" fillId="0" borderId="0" xfId="0" quotePrefix="1" applyNumberFormat="1" applyFont="1" applyAlignment="1">
      <alignment horizontal="center"/>
    </xf>
    <xf numFmtId="13" fontId="0" fillId="0" borderId="0" xfId="0" applyNumberFormat="1" applyFont="1" applyAlignment="1">
      <alignment horizontal="center"/>
    </xf>
    <xf numFmtId="165" fontId="0" fillId="0" borderId="1" xfId="0" applyNumberFormat="1" applyFont="1" applyBorder="1"/>
    <xf numFmtId="10" fontId="0" fillId="0" borderId="0" xfId="0" applyNumberFormat="1" applyFont="1"/>
    <xf numFmtId="168" fontId="0" fillId="3" borderId="0" xfId="0" applyNumberFormat="1" applyFont="1" applyFill="1"/>
    <xf numFmtId="0" fontId="7" fillId="0" borderId="0" xfId="0" applyFont="1" applyBorder="1"/>
    <xf numFmtId="0" fontId="7" fillId="0" borderId="10" xfId="0" applyFont="1" applyBorder="1"/>
    <xf numFmtId="165" fontId="0" fillId="0" borderId="9" xfId="0" applyNumberFormat="1" applyBorder="1"/>
    <xf numFmtId="0" fontId="0" fillId="0" borderId="0" xfId="0" applyBorder="1"/>
    <xf numFmtId="0" fontId="0" fillId="0" borderId="10" xfId="0" applyBorder="1"/>
    <xf numFmtId="165" fontId="2" fillId="9" borderId="3" xfId="0" applyNumberFormat="1" applyFont="1" applyFill="1" applyBorder="1"/>
    <xf numFmtId="0" fontId="0" fillId="9" borderId="3" xfId="0" applyFill="1" applyBorder="1"/>
    <xf numFmtId="165" fontId="0" fillId="0" borderId="3" xfId="0" applyNumberFormat="1" applyBorder="1"/>
    <xf numFmtId="0" fontId="0" fillId="0" borderId="3" xfId="0" applyBorder="1"/>
    <xf numFmtId="165" fontId="0" fillId="9" borderId="3" xfId="0" applyNumberFormat="1" applyFill="1" applyBorder="1"/>
    <xf numFmtId="0" fontId="0" fillId="9" borderId="3" xfId="0" applyFill="1" applyBorder="1" applyAlignment="1">
      <alignment wrapText="1"/>
    </xf>
    <xf numFmtId="165" fontId="0" fillId="0" borderId="0" xfId="0" applyNumberFormat="1" applyBorder="1"/>
    <xf numFmtId="0" fontId="8" fillId="0" borderId="10" xfId="0" applyFont="1" applyBorder="1"/>
    <xf numFmtId="6" fontId="0" fillId="9" borderId="3" xfId="0" applyNumberFormat="1" applyFill="1" applyBorder="1" applyAlignment="1"/>
    <xf numFmtId="0" fontId="2" fillId="0" borderId="9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9" xfId="0" applyBorder="1"/>
    <xf numFmtId="0" fontId="0" fillId="0" borderId="0" xfId="0" applyBorder="1" applyAlignment="1">
      <alignment horizontal="right"/>
    </xf>
    <xf numFmtId="0" fontId="2" fillId="0" borderId="10" xfId="0" applyFont="1" applyBorder="1"/>
    <xf numFmtId="165" fontId="2" fillId="0" borderId="0" xfId="0" applyNumberFormat="1" applyFont="1" applyBorder="1"/>
    <xf numFmtId="165" fontId="7" fillId="0" borderId="0" xfId="0" applyNumberFormat="1" applyFont="1" applyBorder="1"/>
    <xf numFmtId="0" fontId="2" fillId="9" borderId="3" xfId="0" applyFont="1" applyFill="1" applyBorder="1"/>
    <xf numFmtId="168" fontId="0" fillId="0" borderId="0" xfId="0" applyNumberFormat="1" applyFont="1" applyBorder="1"/>
    <xf numFmtId="164" fontId="0" fillId="0" borderId="0" xfId="0" applyNumberFormat="1"/>
    <xf numFmtId="0" fontId="1" fillId="0" borderId="0" xfId="0" applyFont="1"/>
    <xf numFmtId="0" fontId="10" fillId="0" borderId="0" xfId="0" applyFont="1"/>
    <xf numFmtId="0" fontId="11" fillId="0" borderId="3" xfId="0" applyFont="1" applyBorder="1" applyAlignment="1">
      <alignment horizontal="right"/>
    </xf>
    <xf numFmtId="0" fontId="11" fillId="0" borderId="4" xfId="0" applyFont="1" applyBorder="1" applyAlignment="1">
      <alignment horizontal="right" wrapText="1"/>
    </xf>
    <xf numFmtId="0" fontId="11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horizontal="right" wrapText="1"/>
    </xf>
    <xf numFmtId="0" fontId="11" fillId="0" borderId="4" xfId="0" applyFont="1" applyBorder="1" applyAlignment="1">
      <alignment horizontal="right"/>
    </xf>
    <xf numFmtId="166" fontId="12" fillId="0" borderId="6" xfId="0" applyNumberFormat="1" applyFont="1" applyBorder="1" applyAlignment="1">
      <alignment horizontal="right" vertical="top" wrapText="1"/>
    </xf>
    <xf numFmtId="167" fontId="12" fillId="3" borderId="5" xfId="0" applyNumberFormat="1" applyFont="1" applyFill="1" applyBorder="1" applyAlignment="1">
      <alignment horizontal="center" vertical="center" wrapText="1"/>
    </xf>
    <xf numFmtId="169" fontId="13" fillId="3" borderId="3" xfId="0" applyNumberFormat="1" applyFont="1" applyFill="1" applyBorder="1" applyAlignment="1">
      <alignment horizontal="center"/>
    </xf>
    <xf numFmtId="167" fontId="12" fillId="5" borderId="5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left"/>
    </xf>
    <xf numFmtId="0" fontId="12" fillId="0" borderId="5" xfId="0" applyFont="1" applyBorder="1" applyAlignment="1">
      <alignment horizontal="right"/>
    </xf>
    <xf numFmtId="0" fontId="12" fillId="2" borderId="5" xfId="0" applyNumberFormat="1" applyFont="1" applyFill="1" applyBorder="1" applyAlignment="1">
      <alignment horizontal="center"/>
    </xf>
    <xf numFmtId="165" fontId="12" fillId="2" borderId="5" xfId="0" applyNumberFormat="1" applyFont="1" applyFill="1" applyBorder="1" applyAlignment="1">
      <alignment horizontal="right"/>
    </xf>
    <xf numFmtId="0" fontId="11" fillId="0" borderId="6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7" xfId="0" applyNumberFormat="1" applyFont="1" applyBorder="1" applyAlignment="1">
      <alignment horizontal="center"/>
    </xf>
    <xf numFmtId="4" fontId="11" fillId="0" borderId="7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5" fontId="1" fillId="7" borderId="0" xfId="0" applyNumberFormat="1" applyFont="1" applyFill="1"/>
    <xf numFmtId="164" fontId="0" fillId="3" borderId="3" xfId="0" applyNumberFormat="1" applyFill="1" applyBorder="1"/>
    <xf numFmtId="165" fontId="0" fillId="3" borderId="3" xfId="0" applyNumberFormat="1" applyFill="1" applyBorder="1"/>
    <xf numFmtId="0" fontId="0" fillId="3" borderId="3" xfId="0" applyFill="1" applyBorder="1"/>
    <xf numFmtId="0" fontId="0" fillId="0" borderId="0" xfId="0" applyAlignment="1">
      <alignment horizontal="right"/>
    </xf>
    <xf numFmtId="170" fontId="0" fillId="3" borderId="2" xfId="0" applyNumberFormat="1" applyFont="1" applyFill="1" applyBorder="1"/>
    <xf numFmtId="0" fontId="12" fillId="10" borderId="3" xfId="0" applyNumberFormat="1" applyFont="1" applyFill="1" applyBorder="1" applyAlignment="1">
      <alignment horizontal="center"/>
    </xf>
    <xf numFmtId="0" fontId="12" fillId="10" borderId="4" xfId="0" applyNumberFormat="1" applyFont="1" applyFill="1" applyBorder="1" applyAlignment="1">
      <alignment horizontal="center"/>
    </xf>
    <xf numFmtId="3" fontId="12" fillId="10" borderId="4" xfId="0" applyNumberFormat="1" applyFont="1" applyFill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5" fontId="12" fillId="3" borderId="5" xfId="0" applyNumberFormat="1" applyFont="1" applyFill="1" applyBorder="1" applyAlignment="1">
      <alignment horizontal="center"/>
    </xf>
    <xf numFmtId="165" fontId="11" fillId="0" borderId="5" xfId="0" applyNumberFormat="1" applyFont="1" applyBorder="1" applyAlignment="1">
      <alignment horizontal="center"/>
    </xf>
    <xf numFmtId="171" fontId="1" fillId="0" borderId="0" xfId="0" applyNumberFormat="1" applyFont="1"/>
    <xf numFmtId="165" fontId="0" fillId="0" borderId="0" xfId="0" applyNumberFormat="1"/>
    <xf numFmtId="165" fontId="14" fillId="0" borderId="0" xfId="0" applyNumberFormat="1" applyFont="1"/>
    <xf numFmtId="2" fontId="0" fillId="3" borderId="0" xfId="0" applyNumberFormat="1" applyFont="1" applyFill="1" applyAlignment="1">
      <alignment horizontal="center"/>
    </xf>
    <xf numFmtId="164" fontId="0" fillId="0" borderId="0" xfId="0" applyNumberFormat="1" applyBorder="1"/>
    <xf numFmtId="165" fontId="0" fillId="10" borderId="0" xfId="0" applyNumberFormat="1" applyFill="1"/>
    <xf numFmtId="164" fontId="0" fillId="10" borderId="0" xfId="0" applyNumberFormat="1" applyFill="1"/>
    <xf numFmtId="164" fontId="0" fillId="10" borderId="0" xfId="0" applyNumberFormat="1" applyFill="1" applyBorder="1"/>
    <xf numFmtId="165" fontId="0" fillId="0" borderId="1" xfId="0" applyNumberFormat="1" applyBorder="1"/>
    <xf numFmtId="14" fontId="10" fillId="0" borderId="0" xfId="0" applyNumberFormat="1" applyFont="1"/>
    <xf numFmtId="165" fontId="12" fillId="4" borderId="5" xfId="0" applyNumberFormat="1" applyFont="1" applyFill="1" applyBorder="1" applyAlignment="1">
      <alignment horizontal="center"/>
    </xf>
    <xf numFmtId="165" fontId="12" fillId="6" borderId="5" xfId="0" applyNumberFormat="1" applyFont="1" applyFill="1" applyBorder="1" applyAlignment="1">
      <alignment horizontal="center"/>
    </xf>
    <xf numFmtId="165" fontId="13" fillId="3" borderId="3" xfId="0" applyNumberFormat="1" applyFont="1" applyFill="1" applyBorder="1" applyAlignment="1">
      <alignment horizontal="center"/>
    </xf>
    <xf numFmtId="165" fontId="13" fillId="5" borderId="3" xfId="0" applyNumberFormat="1" applyFont="1" applyFill="1" applyBorder="1" applyAlignment="1">
      <alignment horizontal="center"/>
    </xf>
    <xf numFmtId="9" fontId="0" fillId="3" borderId="0" xfId="0" applyNumberFormat="1" applyFont="1" applyFill="1"/>
    <xf numFmtId="14" fontId="0" fillId="0" borderId="0" xfId="0" applyNumberFormat="1"/>
    <xf numFmtId="164" fontId="0" fillId="0" borderId="3" xfId="0" applyNumberFormat="1" applyFill="1" applyBorder="1"/>
    <xf numFmtId="170" fontId="0" fillId="0" borderId="0" xfId="0" applyNumberFormat="1"/>
    <xf numFmtId="0" fontId="0" fillId="0" borderId="0" xfId="0" applyFill="1" applyBorder="1" applyAlignment="1">
      <alignment horizontal="right"/>
    </xf>
    <xf numFmtId="165" fontId="0" fillId="11" borderId="3" xfId="0" applyNumberFormat="1" applyFill="1" applyBorder="1"/>
    <xf numFmtId="165" fontId="1" fillId="11" borderId="0" xfId="0" applyNumberFormat="1" applyFont="1" applyFill="1"/>
    <xf numFmtId="10" fontId="0" fillId="0" borderId="0" xfId="0" applyNumberFormat="1" applyAlignment="1">
      <alignment horizontal="center"/>
    </xf>
    <xf numFmtId="164" fontId="0" fillId="0" borderId="3" xfId="0" applyNumberFormat="1" applyFill="1" applyBorder="1" applyAlignment="1">
      <alignment horizontal="right"/>
    </xf>
    <xf numFmtId="165" fontId="0" fillId="0" borderId="3" xfId="0" applyNumberFormat="1" applyFill="1" applyBorder="1"/>
    <xf numFmtId="167" fontId="12" fillId="12" borderId="5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8" fontId="16" fillId="0" borderId="20" xfId="0" applyNumberFormat="1" applyFont="1" applyFill="1" applyBorder="1" applyAlignment="1">
      <alignment horizontal="center"/>
    </xf>
    <xf numFmtId="8" fontId="16" fillId="0" borderId="21" xfId="0" applyNumberFormat="1" applyFont="1" applyFill="1" applyBorder="1" applyAlignment="1">
      <alignment horizontal="center"/>
    </xf>
    <xf numFmtId="8" fontId="16" fillId="0" borderId="22" xfId="0" applyNumberFormat="1" applyFont="1" applyFill="1" applyBorder="1" applyAlignment="1">
      <alignment horizontal="center"/>
    </xf>
    <xf numFmtId="8" fontId="17" fillId="13" borderId="23" xfId="0" applyNumberFormat="1" applyFont="1" applyFill="1" applyBorder="1" applyAlignment="1">
      <alignment horizontal="center"/>
    </xf>
    <xf numFmtId="8" fontId="17" fillId="13" borderId="3" xfId="0" applyNumberFormat="1" applyFont="1" applyFill="1" applyBorder="1" applyAlignment="1">
      <alignment horizontal="center"/>
    </xf>
    <xf numFmtId="8" fontId="17" fillId="13" borderId="24" xfId="0" applyNumberFormat="1" applyFont="1" applyFill="1" applyBorder="1" applyAlignment="1">
      <alignment horizontal="center"/>
    </xf>
    <xf numFmtId="8" fontId="17" fillId="3" borderId="23" xfId="0" applyNumberFormat="1" applyFont="1" applyFill="1" applyBorder="1" applyAlignment="1">
      <alignment horizontal="center"/>
    </xf>
    <xf numFmtId="8" fontId="17" fillId="3" borderId="3" xfId="0" applyNumberFormat="1" applyFont="1" applyFill="1" applyBorder="1" applyAlignment="1">
      <alignment horizontal="center"/>
    </xf>
    <xf numFmtId="8" fontId="17" fillId="3" borderId="24" xfId="0" applyNumberFormat="1" applyFont="1" applyFill="1" applyBorder="1" applyAlignment="1">
      <alignment horizontal="center"/>
    </xf>
    <xf numFmtId="8" fontId="17" fillId="0" borderId="23" xfId="0" applyNumberFormat="1" applyFont="1" applyFill="1" applyBorder="1" applyAlignment="1">
      <alignment horizontal="center"/>
    </xf>
    <xf numFmtId="8" fontId="17" fillId="0" borderId="3" xfId="0" applyNumberFormat="1" applyFont="1" applyFill="1" applyBorder="1" applyAlignment="1">
      <alignment horizontal="center"/>
    </xf>
    <xf numFmtId="8" fontId="17" fillId="0" borderId="24" xfId="0" applyNumberFormat="1" applyFont="1" applyFill="1" applyBorder="1" applyAlignment="1">
      <alignment horizontal="center"/>
    </xf>
    <xf numFmtId="8" fontId="17" fillId="11" borderId="23" xfId="0" applyNumberFormat="1" applyFont="1" applyFill="1" applyBorder="1" applyAlignment="1">
      <alignment horizontal="center"/>
    </xf>
    <xf numFmtId="8" fontId="17" fillId="11" borderId="3" xfId="0" applyNumberFormat="1" applyFont="1" applyFill="1" applyBorder="1" applyAlignment="1">
      <alignment horizontal="center"/>
    </xf>
    <xf numFmtId="8" fontId="17" fillId="11" borderId="24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8" fontId="17" fillId="10" borderId="26" xfId="0" applyNumberFormat="1" applyFont="1" applyFill="1" applyBorder="1" applyAlignment="1">
      <alignment horizontal="center"/>
    </xf>
    <xf numFmtId="8" fontId="17" fillId="10" borderId="27" xfId="0" applyNumberFormat="1" applyFont="1" applyFill="1" applyBorder="1" applyAlignment="1">
      <alignment horizontal="center"/>
    </xf>
    <xf numFmtId="8" fontId="17" fillId="10" borderId="28" xfId="0" applyNumberFormat="1" applyFont="1" applyFill="1" applyBorder="1" applyAlignment="1">
      <alignment horizontal="center"/>
    </xf>
    <xf numFmtId="0" fontId="7" fillId="14" borderId="0" xfId="0" applyFont="1" applyFill="1" applyBorder="1" applyAlignment="1">
      <alignment horizontal="center"/>
    </xf>
    <xf numFmtId="8" fontId="17" fillId="14" borderId="0" xfId="0" applyNumberFormat="1" applyFont="1" applyFill="1" applyBorder="1" applyAlignment="1">
      <alignment horizontal="right"/>
    </xf>
    <xf numFmtId="8" fontId="17" fillId="14" borderId="16" xfId="0" applyNumberFormat="1" applyFont="1" applyFill="1" applyBorder="1" applyAlignment="1">
      <alignment horizontal="left"/>
    </xf>
    <xf numFmtId="8" fontId="17" fillId="14" borderId="29" xfId="0" applyNumberFormat="1" applyFont="1" applyFill="1" applyBorder="1" applyAlignment="1">
      <alignment horizontal="right"/>
    </xf>
    <xf numFmtId="8" fontId="17" fillId="14" borderId="30" xfId="0" applyNumberFormat="1" applyFont="1" applyFill="1" applyBorder="1" applyAlignment="1">
      <alignment horizontal="right"/>
    </xf>
    <xf numFmtId="8" fontId="17" fillId="14" borderId="31" xfId="0" applyNumberFormat="1" applyFont="1" applyFill="1" applyBorder="1" applyAlignment="1">
      <alignment horizontal="right"/>
    </xf>
    <xf numFmtId="8" fontId="18" fillId="14" borderId="30" xfId="0" applyNumberFormat="1" applyFont="1" applyFill="1" applyBorder="1" applyAlignment="1">
      <alignment horizontal="right"/>
    </xf>
    <xf numFmtId="0" fontId="15" fillId="14" borderId="32" xfId="0" applyFont="1" applyFill="1" applyBorder="1" applyAlignment="1">
      <alignment horizontal="center"/>
    </xf>
    <xf numFmtId="0" fontId="15" fillId="14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14" fontId="0" fillId="3" borderId="0" xfId="0" applyNumberFormat="1" applyFill="1"/>
    <xf numFmtId="0" fontId="0" fillId="3" borderId="0" xfId="0" applyFill="1" applyAlignment="1">
      <alignment horizontal="center"/>
    </xf>
    <xf numFmtId="0" fontId="9" fillId="8" borderId="3" xfId="5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0">
    <cellStyle name="40% - Accent5 2" xfId="5" xr:uid="{00000000-0005-0000-0000-000000000000}"/>
    <cellStyle name="Followed Hyperlink" xfId="2" builtinId="9" hidden="1"/>
    <cellStyle name="Followed Hyperlink" xfId="4" builtinId="9" hidden="1"/>
    <cellStyle name="Followed Hyperlink" xfId="7" builtinId="9" hidden="1"/>
    <cellStyle name="Followed Hyperlink" xfId="9" builtinId="9" hidden="1"/>
    <cellStyle name="Hyperlink" xfId="1" builtinId="8" hidden="1"/>
    <cellStyle name="Hyperlink" xfId="3" builtinId="8" hidden="1"/>
    <cellStyle name="Hyperlink" xfId="6" builtinId="8" hidden="1"/>
    <cellStyle name="Hyperlink" xfId="8" builtinId="8" hidden="1"/>
    <cellStyle name="Normal" xfId="0" builtinId="0"/>
  </cellStyles>
  <dxfs count="0"/>
  <tableStyles count="0" defaultTableStyle="TableStyleMedium9" defaultPivotStyle="PivotStyleMedium7"/>
  <colors>
    <mruColors>
      <color rgb="FF00FDFF"/>
      <color rgb="FF00F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698500</xdr:colOff>
      <xdr:row>0</xdr:row>
      <xdr:rowOff>88900</xdr:rowOff>
    </xdr:from>
    <xdr:ext cx="431800" cy="481772"/>
    <xdr:pic>
      <xdr:nvPicPr>
        <xdr:cNvPr id="2" name="Picture 1">
          <a:extLst>
            <a:ext uri="{FF2B5EF4-FFF2-40B4-BE49-F238E27FC236}">
              <a16:creationId xmlns:a16="http://schemas.microsoft.com/office/drawing/2014/main" id="{9918310C-0B2A-5744-ABCD-21D294616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8500" y="698500"/>
          <a:ext cx="431800" cy="48177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0"/>
  <sheetViews>
    <sheetView tabSelected="1" topLeftCell="A18" workbookViewId="0">
      <selection activeCell="K15" sqref="K15"/>
    </sheetView>
  </sheetViews>
  <sheetFormatPr baseColWidth="10" defaultColWidth="10.6640625" defaultRowHeight="16" x14ac:dyDescent="0.2"/>
  <cols>
    <col min="1" max="1" width="31.1640625" customWidth="1"/>
    <col min="2" max="3" width="12" customWidth="1"/>
    <col min="4" max="4" width="17.1640625" customWidth="1"/>
    <col min="5" max="5" width="4" customWidth="1"/>
    <col min="7" max="7" width="11" customWidth="1"/>
    <col min="9" max="9" width="14" customWidth="1"/>
    <col min="11" max="11" width="28.33203125" customWidth="1"/>
  </cols>
  <sheetData>
    <row r="1" spans="1:14" ht="21" x14ac:dyDescent="0.25">
      <c r="A1" s="138" t="s">
        <v>51</v>
      </c>
      <c r="B1" s="138"/>
      <c r="C1" s="138"/>
      <c r="D1" s="138"/>
      <c r="K1" s="64" t="s">
        <v>141</v>
      </c>
      <c r="L1" s="93">
        <v>5.1483050847457523E-2</v>
      </c>
    </row>
    <row r="2" spans="1:14" x14ac:dyDescent="0.2">
      <c r="A2" s="19"/>
      <c r="B2" s="18"/>
      <c r="C2" s="18"/>
      <c r="D2" s="31"/>
      <c r="K2" s="64" t="s">
        <v>142</v>
      </c>
      <c r="L2" s="93">
        <v>7.647584973166377E-2</v>
      </c>
    </row>
    <row r="3" spans="1:14" x14ac:dyDescent="0.2">
      <c r="A3" s="27" t="s">
        <v>50</v>
      </c>
      <c r="B3" s="32"/>
      <c r="C3" s="18"/>
      <c r="D3" s="29" t="s">
        <v>48</v>
      </c>
      <c r="F3" s="64" t="s">
        <v>64</v>
      </c>
      <c r="G3" s="64" t="s">
        <v>103</v>
      </c>
      <c r="H3" s="64" t="s">
        <v>102</v>
      </c>
      <c r="I3" s="90" t="s">
        <v>104</v>
      </c>
      <c r="J3" s="87">
        <v>43282</v>
      </c>
      <c r="K3" s="90" t="s">
        <v>105</v>
      </c>
    </row>
    <row r="4" spans="1:14" x14ac:dyDescent="0.2">
      <c r="A4" s="23" t="s">
        <v>130</v>
      </c>
      <c r="B4" s="94"/>
      <c r="C4" s="88"/>
      <c r="D4" s="88">
        <f t="shared" ref="D4:D6" si="0">(I4*J4/52+K4*(52-J4)/52)</f>
        <v>103970.86142837485</v>
      </c>
      <c r="F4" s="38">
        <f>D4/12</f>
        <v>8664.2384523645705</v>
      </c>
      <c r="G4" s="89">
        <f>I4/53</f>
        <v>1886.7924528301887</v>
      </c>
      <c r="H4" s="136">
        <v>43455</v>
      </c>
      <c r="I4" s="61">
        <v>100000</v>
      </c>
      <c r="J4">
        <f>ROUND((H4-J$3)/7,0)</f>
        <v>25</v>
      </c>
      <c r="K4" s="89">
        <f>IF(L4="Complex",I4*(1+L$1),I4*(1+L$2))</f>
        <v>107647.58497316638</v>
      </c>
      <c r="L4" s="137" t="s">
        <v>107</v>
      </c>
    </row>
    <row r="5" spans="1:14" x14ac:dyDescent="0.2">
      <c r="A5" s="23" t="s">
        <v>131</v>
      </c>
      <c r="B5" s="22"/>
      <c r="C5" s="23"/>
      <c r="D5" s="88">
        <f t="shared" si="0"/>
        <v>0</v>
      </c>
      <c r="F5" s="38">
        <f t="shared" ref="F5:F6" si="1">D5/12</f>
        <v>0</v>
      </c>
      <c r="G5" s="89">
        <f>I5/53</f>
        <v>0</v>
      </c>
      <c r="H5" s="136">
        <v>43383</v>
      </c>
      <c r="I5" s="61"/>
      <c r="J5">
        <f>ROUND((H5-J$3)/7,0)</f>
        <v>14</v>
      </c>
      <c r="K5" s="89">
        <f t="shared" ref="K5:K6" si="2">IF(L5="Complex",I5*(1+L$1),I5*(1+L$2))</f>
        <v>0</v>
      </c>
      <c r="L5" s="137" t="s">
        <v>106</v>
      </c>
      <c r="N5" s="64" t="s">
        <v>12</v>
      </c>
    </row>
    <row r="6" spans="1:14" x14ac:dyDescent="0.2">
      <c r="A6" s="23" t="s">
        <v>132</v>
      </c>
      <c r="B6" s="22"/>
      <c r="C6" s="23"/>
      <c r="D6" s="88">
        <f t="shared" si="0"/>
        <v>0</v>
      </c>
      <c r="F6" s="38">
        <f t="shared" si="1"/>
        <v>0</v>
      </c>
      <c r="G6" s="89">
        <f>I6/53</f>
        <v>0</v>
      </c>
      <c r="H6" s="136">
        <v>43480</v>
      </c>
      <c r="I6" s="61"/>
      <c r="J6">
        <f>ROUND((H6-J$3)/7,0)</f>
        <v>28</v>
      </c>
      <c r="K6" s="89">
        <f t="shared" si="2"/>
        <v>0</v>
      </c>
      <c r="L6" s="137" t="s">
        <v>107</v>
      </c>
      <c r="M6" s="64" t="s">
        <v>108</v>
      </c>
      <c r="N6" s="64" t="s">
        <v>140</v>
      </c>
    </row>
    <row r="7" spans="1:14" x14ac:dyDescent="0.2">
      <c r="A7" s="23" t="s">
        <v>133</v>
      </c>
      <c r="B7" s="62">
        <v>819.14</v>
      </c>
      <c r="C7" s="21" t="s">
        <v>57</v>
      </c>
      <c r="D7" s="24">
        <f>B7*26</f>
        <v>21297.64</v>
      </c>
      <c r="F7" s="38">
        <f t="shared" ref="F7:F14" si="3">D7/12</f>
        <v>1774.8033333333333</v>
      </c>
      <c r="K7" t="s">
        <v>9</v>
      </c>
      <c r="L7" s="77"/>
      <c r="M7" s="73"/>
    </row>
    <row r="8" spans="1:14" x14ac:dyDescent="0.2">
      <c r="A8" s="23" t="s">
        <v>134</v>
      </c>
      <c r="B8" s="62"/>
      <c r="C8" s="21" t="s">
        <v>57</v>
      </c>
      <c r="D8" s="24">
        <f>B8*26</f>
        <v>0</v>
      </c>
      <c r="F8" s="38">
        <f t="shared" si="3"/>
        <v>0</v>
      </c>
      <c r="K8" t="s">
        <v>79</v>
      </c>
      <c r="L8" s="78"/>
      <c r="M8" s="38"/>
    </row>
    <row r="9" spans="1:14" x14ac:dyDescent="0.2">
      <c r="A9" s="23" t="s">
        <v>135</v>
      </c>
      <c r="B9" s="62"/>
      <c r="C9" s="21" t="s">
        <v>57</v>
      </c>
      <c r="D9" s="24">
        <f t="shared" ref="D9" si="4">B9*26</f>
        <v>0</v>
      </c>
      <c r="F9" s="38">
        <f t="shared" si="3"/>
        <v>0</v>
      </c>
      <c r="K9" t="s">
        <v>80</v>
      </c>
      <c r="L9" s="73"/>
      <c r="M9" s="73"/>
      <c r="N9" s="73">
        <f>L9</f>
        <v>0</v>
      </c>
    </row>
    <row r="10" spans="1:14" x14ac:dyDescent="0.2">
      <c r="A10" s="23" t="s">
        <v>136</v>
      </c>
      <c r="B10" s="62"/>
      <c r="C10" s="21" t="s">
        <v>109</v>
      </c>
      <c r="D10" s="62"/>
      <c r="F10" s="38">
        <f t="shared" si="3"/>
        <v>0</v>
      </c>
      <c r="K10" t="s">
        <v>81</v>
      </c>
      <c r="L10" s="78"/>
      <c r="M10" s="73"/>
    </row>
    <row r="11" spans="1:14" x14ac:dyDescent="0.2">
      <c r="A11" s="23" t="s">
        <v>137</v>
      </c>
      <c r="B11" s="62"/>
      <c r="C11" s="21" t="s">
        <v>109</v>
      </c>
      <c r="D11" s="62"/>
      <c r="F11" s="38">
        <f t="shared" si="3"/>
        <v>0</v>
      </c>
      <c r="K11" t="s">
        <v>82</v>
      </c>
      <c r="L11" s="38"/>
      <c r="M11" s="38"/>
      <c r="N11" s="73">
        <f>L11</f>
        <v>0</v>
      </c>
    </row>
    <row r="12" spans="1:14" x14ac:dyDescent="0.2">
      <c r="A12" s="23" t="s">
        <v>138</v>
      </c>
      <c r="B12" s="62"/>
      <c r="C12" s="21" t="s">
        <v>109</v>
      </c>
      <c r="D12" s="62"/>
      <c r="F12" s="38">
        <f t="shared" si="3"/>
        <v>0</v>
      </c>
      <c r="K12" t="s">
        <v>83</v>
      </c>
      <c r="L12" s="77"/>
      <c r="M12" s="38"/>
    </row>
    <row r="13" spans="1:14" x14ac:dyDescent="0.2">
      <c r="A13" s="23" t="s">
        <v>66</v>
      </c>
      <c r="B13" s="62">
        <v>2457</v>
      </c>
      <c r="C13" s="63">
        <v>2</v>
      </c>
      <c r="D13" s="24">
        <f>B13*C13</f>
        <v>4914</v>
      </c>
      <c r="F13" s="38">
        <f t="shared" si="3"/>
        <v>409.5</v>
      </c>
      <c r="K13" t="s">
        <v>84</v>
      </c>
      <c r="L13" s="38"/>
      <c r="M13" s="38"/>
      <c r="N13" s="73">
        <f t="shared" ref="N13:N14" si="5">L13</f>
        <v>0</v>
      </c>
    </row>
    <row r="14" spans="1:14" x14ac:dyDescent="0.2">
      <c r="A14" s="21" t="s">
        <v>10</v>
      </c>
      <c r="B14" s="21"/>
      <c r="C14" s="21"/>
      <c r="D14" s="62">
        <v>100</v>
      </c>
      <c r="F14" s="38">
        <f t="shared" si="3"/>
        <v>8.3333333333333339</v>
      </c>
      <c r="K14" t="s">
        <v>85</v>
      </c>
      <c r="L14" s="76"/>
      <c r="M14" s="76"/>
      <c r="N14" s="73">
        <f t="shared" si="5"/>
        <v>0</v>
      </c>
    </row>
    <row r="15" spans="1:14" x14ac:dyDescent="0.2">
      <c r="K15" t="s">
        <v>86</v>
      </c>
      <c r="L15" s="79"/>
      <c r="M15" s="76"/>
    </row>
    <row r="16" spans="1:14" x14ac:dyDescent="0.2">
      <c r="A16" s="21"/>
      <c r="B16" s="21"/>
      <c r="C16" s="21"/>
      <c r="D16" s="20">
        <f>SUM(D4:D14)</f>
        <v>130282.50142837485</v>
      </c>
      <c r="F16" s="38">
        <f>D16/12</f>
        <v>10856.875119031238</v>
      </c>
      <c r="K16" t="s">
        <v>87</v>
      </c>
      <c r="L16" s="79"/>
      <c r="M16" s="76"/>
    </row>
    <row r="17" spans="1:15" x14ac:dyDescent="0.2">
      <c r="A17" s="19"/>
      <c r="B17" s="18"/>
      <c r="C17" s="18"/>
      <c r="D17" s="31"/>
      <c r="F17" s="38">
        <f>D17/12</f>
        <v>0</v>
      </c>
      <c r="K17" t="s">
        <v>7</v>
      </c>
      <c r="L17" s="78"/>
      <c r="M17" s="38"/>
    </row>
    <row r="18" spans="1:15" x14ac:dyDescent="0.2">
      <c r="A18" s="27" t="s">
        <v>4</v>
      </c>
      <c r="B18" s="30" t="s">
        <v>49</v>
      </c>
      <c r="C18" s="32" t="s">
        <v>65</v>
      </c>
      <c r="D18" s="29" t="s">
        <v>48</v>
      </c>
      <c r="F18" s="38"/>
      <c r="K18" t="s">
        <v>88</v>
      </c>
      <c r="L18" s="78"/>
      <c r="M18" s="38"/>
    </row>
    <row r="19" spans="1:15" x14ac:dyDescent="0.2">
      <c r="A19" s="21" t="s">
        <v>4</v>
      </c>
      <c r="B19" s="24">
        <f>D19/26</f>
        <v>825.83849950711249</v>
      </c>
      <c r="C19" s="63">
        <v>8</v>
      </c>
      <c r="D19" s="91">
        <f>'2018-19 Salary Forecast'!L28</f>
        <v>21471.800987184924</v>
      </c>
      <c r="F19" s="38">
        <f>D19/12</f>
        <v>1789.316748932077</v>
      </c>
      <c r="K19" t="s">
        <v>89</v>
      </c>
      <c r="L19" s="78"/>
      <c r="M19" s="38"/>
    </row>
    <row r="20" spans="1:15" x14ac:dyDescent="0.2">
      <c r="A20" s="21" t="s">
        <v>52</v>
      </c>
      <c r="B20" s="24">
        <v>80</v>
      </c>
      <c r="C20" s="28"/>
      <c r="D20" s="22">
        <f>B20*26*C19</f>
        <v>16640</v>
      </c>
      <c r="F20" s="38">
        <f>D20/12</f>
        <v>1386.6666666666667</v>
      </c>
      <c r="K20" t="s">
        <v>90</v>
      </c>
      <c r="L20" s="78"/>
      <c r="M20" s="38"/>
    </row>
    <row r="21" spans="1:15" x14ac:dyDescent="0.2">
      <c r="A21" s="19"/>
      <c r="B21" s="26"/>
      <c r="C21" s="18"/>
      <c r="D21" s="17">
        <f>SUM(D19:D20)</f>
        <v>38111.800987184921</v>
      </c>
      <c r="F21" s="38">
        <f>D21/12</f>
        <v>3175.9834155987432</v>
      </c>
      <c r="K21" t="s">
        <v>91</v>
      </c>
      <c r="L21" s="76"/>
      <c r="M21" s="76"/>
      <c r="N21" s="73">
        <f t="shared" ref="N21:N22" si="6">L21</f>
        <v>0</v>
      </c>
    </row>
    <row r="22" spans="1:15" x14ac:dyDescent="0.2">
      <c r="A22" s="27" t="s">
        <v>46</v>
      </c>
      <c r="B22" s="26"/>
      <c r="C22" s="18"/>
      <c r="D22" s="17"/>
      <c r="F22" s="38"/>
      <c r="K22" t="s">
        <v>92</v>
      </c>
      <c r="L22" s="38"/>
      <c r="M22" s="38"/>
      <c r="N22" s="73">
        <f t="shared" si="6"/>
        <v>0</v>
      </c>
    </row>
    <row r="23" spans="1:15" x14ac:dyDescent="0.2">
      <c r="A23" s="21" t="s">
        <v>9</v>
      </c>
      <c r="B23" s="62">
        <v>700</v>
      </c>
      <c r="C23" s="21" t="s">
        <v>55</v>
      </c>
      <c r="D23" s="24">
        <f>B23*52-8*(960-925)</f>
        <v>36120</v>
      </c>
      <c r="F23" s="38">
        <f>D23/12</f>
        <v>3010</v>
      </c>
      <c r="K23" t="s">
        <v>93</v>
      </c>
      <c r="L23" s="78"/>
      <c r="M23" s="38"/>
    </row>
    <row r="24" spans="1:15" x14ac:dyDescent="0.2">
      <c r="A24" s="23" t="s">
        <v>53</v>
      </c>
      <c r="B24" s="95">
        <v>5500</v>
      </c>
      <c r="C24" s="23" t="s">
        <v>56</v>
      </c>
      <c r="D24" s="22">
        <f>B24*4-500</f>
        <v>21500</v>
      </c>
      <c r="F24" s="38">
        <f>D24/12</f>
        <v>1791.6666666666667</v>
      </c>
      <c r="K24" t="s">
        <v>6</v>
      </c>
      <c r="L24" s="78"/>
      <c r="M24" s="38"/>
    </row>
    <row r="25" spans="1:15" x14ac:dyDescent="0.2">
      <c r="A25" s="23" t="s">
        <v>60</v>
      </c>
      <c r="B25" s="23"/>
      <c r="C25" s="23" t="s">
        <v>61</v>
      </c>
      <c r="D25" s="95">
        <v>2000</v>
      </c>
      <c r="F25" s="38">
        <f>D25/12</f>
        <v>166.66666666666666</v>
      </c>
      <c r="K25" t="s">
        <v>94</v>
      </c>
      <c r="L25" s="78"/>
      <c r="M25" s="38"/>
    </row>
    <row r="26" spans="1:15" x14ac:dyDescent="0.2">
      <c r="A26" s="25" t="s">
        <v>45</v>
      </c>
      <c r="B26" s="21"/>
      <c r="C26" s="21"/>
      <c r="D26" s="62"/>
      <c r="F26" s="38">
        <f>D26/12</f>
        <v>0</v>
      </c>
      <c r="K26" t="s">
        <v>8</v>
      </c>
      <c r="L26" s="78"/>
      <c r="M26" s="38"/>
    </row>
    <row r="27" spans="1:15" x14ac:dyDescent="0.2">
      <c r="A27" t="s">
        <v>98</v>
      </c>
      <c r="B27" s="62"/>
      <c r="C27" s="21" t="s">
        <v>57</v>
      </c>
      <c r="D27" s="95">
        <f>B27*26</f>
        <v>0</v>
      </c>
      <c r="F27" s="38">
        <f>D27/12</f>
        <v>0</v>
      </c>
      <c r="K27" t="s">
        <v>95</v>
      </c>
      <c r="L27" s="38"/>
      <c r="M27" s="38"/>
      <c r="N27" s="73"/>
      <c r="O27" s="38">
        <f>L27</f>
        <v>0</v>
      </c>
    </row>
    <row r="28" spans="1:15" x14ac:dyDescent="0.2">
      <c r="A28" s="23" t="s">
        <v>58</v>
      </c>
      <c r="B28" s="23"/>
      <c r="C28" s="23"/>
      <c r="D28" s="62"/>
      <c r="F28" s="38">
        <f t="shared" ref="F28:F38" si="7">D28/12</f>
        <v>0</v>
      </c>
      <c r="K28" t="s">
        <v>96</v>
      </c>
      <c r="L28" s="38"/>
      <c r="M28" s="38"/>
      <c r="N28" s="73"/>
      <c r="O28" s="38">
        <f>L28</f>
        <v>0</v>
      </c>
    </row>
    <row r="29" spans="1:15" x14ac:dyDescent="0.2">
      <c r="A29" s="21" t="s">
        <v>6</v>
      </c>
      <c r="B29" s="21"/>
      <c r="C29" s="21"/>
      <c r="D29" s="62"/>
      <c r="F29" s="38">
        <f t="shared" si="7"/>
        <v>0</v>
      </c>
      <c r="K29" t="s">
        <v>97</v>
      </c>
      <c r="L29" s="78"/>
      <c r="M29" s="38"/>
    </row>
    <row r="30" spans="1:15" ht="17" thickBot="1" x14ac:dyDescent="0.25">
      <c r="A30" s="21" t="s">
        <v>7</v>
      </c>
      <c r="B30" s="21"/>
      <c r="C30" s="21"/>
      <c r="D30" s="62"/>
      <c r="F30" s="38">
        <f t="shared" si="7"/>
        <v>0</v>
      </c>
      <c r="N30" s="80">
        <f>SUM(N7:N29)</f>
        <v>0</v>
      </c>
      <c r="O30" s="80">
        <f>SUM(O7:O29)</f>
        <v>0</v>
      </c>
    </row>
    <row r="31" spans="1:15" ht="17" thickTop="1" x14ac:dyDescent="0.2">
      <c r="A31" s="23" t="s">
        <v>8</v>
      </c>
      <c r="B31" s="23"/>
      <c r="C31" s="23"/>
      <c r="D31" s="95">
        <v>5000</v>
      </c>
      <c r="F31" s="38">
        <f t="shared" si="7"/>
        <v>416.66666666666669</v>
      </c>
    </row>
    <row r="32" spans="1:15" x14ac:dyDescent="0.2">
      <c r="A32" s="21" t="s">
        <v>44</v>
      </c>
      <c r="B32" s="21"/>
      <c r="C32" s="21"/>
      <c r="D32" s="62"/>
      <c r="F32" s="38">
        <f t="shared" si="7"/>
        <v>0</v>
      </c>
    </row>
    <row r="33" spans="1:7" x14ac:dyDescent="0.2">
      <c r="A33" s="23" t="s">
        <v>54</v>
      </c>
      <c r="B33" s="23"/>
      <c r="C33" s="23"/>
      <c r="D33" s="62"/>
      <c r="F33" s="38">
        <f t="shared" si="7"/>
        <v>0</v>
      </c>
    </row>
    <row r="34" spans="1:7" x14ac:dyDescent="0.2">
      <c r="A34" s="21" t="s">
        <v>43</v>
      </c>
      <c r="B34" s="62">
        <v>300</v>
      </c>
      <c r="C34" s="21" t="s">
        <v>55</v>
      </c>
      <c r="D34" s="95">
        <f>B34*52</f>
        <v>15600</v>
      </c>
      <c r="F34" s="38">
        <f t="shared" si="7"/>
        <v>1300</v>
      </c>
      <c r="G34" t="s">
        <v>139</v>
      </c>
    </row>
    <row r="35" spans="1:7" x14ac:dyDescent="0.2">
      <c r="A35" s="21" t="s">
        <v>59</v>
      </c>
      <c r="B35" s="21"/>
      <c r="C35" s="21"/>
      <c r="D35" s="95">
        <v>300</v>
      </c>
      <c r="F35" s="38">
        <f t="shared" si="7"/>
        <v>25</v>
      </c>
    </row>
    <row r="36" spans="1:7" x14ac:dyDescent="0.2">
      <c r="A36" s="23" t="s">
        <v>12</v>
      </c>
      <c r="B36" s="23"/>
      <c r="C36" s="23"/>
      <c r="D36" s="95">
        <f>N30</f>
        <v>0</v>
      </c>
      <c r="F36" s="38">
        <f t="shared" si="7"/>
        <v>0</v>
      </c>
    </row>
    <row r="37" spans="1:7" x14ac:dyDescent="0.2">
      <c r="A37" s="36" t="s">
        <v>63</v>
      </c>
      <c r="B37" s="21"/>
      <c r="C37" s="21"/>
      <c r="D37" s="20">
        <f>SUM(D23:D36)</f>
        <v>80520</v>
      </c>
      <c r="F37" s="38">
        <f t="shared" si="7"/>
        <v>6710</v>
      </c>
    </row>
    <row r="38" spans="1:7" x14ac:dyDescent="0.2">
      <c r="A38" s="33" t="s">
        <v>62</v>
      </c>
      <c r="B38" s="18"/>
      <c r="C38" s="18"/>
      <c r="D38" s="34">
        <f>D21+D37</f>
        <v>118631.80098718492</v>
      </c>
      <c r="F38" s="38">
        <f t="shared" si="7"/>
        <v>9885.9834155987428</v>
      </c>
    </row>
    <row r="39" spans="1:7" x14ac:dyDescent="0.2">
      <c r="A39" s="33"/>
      <c r="B39" s="18"/>
      <c r="C39" s="18"/>
      <c r="D39" s="34"/>
      <c r="F39" s="38"/>
    </row>
    <row r="40" spans="1:7" ht="19" x14ac:dyDescent="0.25">
      <c r="A40" s="16" t="s">
        <v>11</v>
      </c>
      <c r="B40" s="15"/>
      <c r="C40" s="15"/>
      <c r="D40" s="35">
        <f>D16-D38</f>
        <v>11650.700441189925</v>
      </c>
      <c r="F40" s="38">
        <f>D40/12</f>
        <v>970.89170343249373</v>
      </c>
    </row>
  </sheetData>
  <mergeCells count="1">
    <mergeCell ref="A1:D1"/>
  </mergeCells>
  <printOptions horizontalCentered="1"/>
  <pageMargins left="0.70866141732283472" right="0.70866141732283472" top="0.74803149606299213" bottom="0.5905511811023622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8"/>
  <sheetViews>
    <sheetView zoomScale="114" zoomScaleNormal="150" zoomScalePageLayoutView="150" workbookViewId="0">
      <selection activeCell="I3" sqref="I3"/>
    </sheetView>
  </sheetViews>
  <sheetFormatPr baseColWidth="10" defaultColWidth="11" defaultRowHeight="16" x14ac:dyDescent="0.2"/>
  <cols>
    <col min="1" max="1" width="1.5" customWidth="1"/>
    <col min="2" max="2" width="19" customWidth="1"/>
    <col min="3" max="3" width="6.1640625" bestFit="1" customWidth="1"/>
    <col min="4" max="4" width="7" bestFit="1" customWidth="1"/>
    <col min="5" max="5" width="6.1640625" bestFit="1" customWidth="1"/>
    <col min="6" max="6" width="7" bestFit="1" customWidth="1"/>
    <col min="7" max="7" width="7.1640625" bestFit="1" customWidth="1"/>
    <col min="8" max="8" width="8.1640625" customWidth="1"/>
    <col min="9" max="9" width="8.5" customWidth="1"/>
    <col min="10" max="11" width="7.83203125" customWidth="1"/>
    <col min="12" max="13" width="11.1640625" bestFit="1" customWidth="1"/>
    <col min="14" max="14" width="28.1640625" customWidth="1"/>
    <col min="15" max="15" width="8" customWidth="1"/>
    <col min="16" max="16" width="11.1640625" bestFit="1" customWidth="1"/>
  </cols>
  <sheetData>
    <row r="1" spans="1:18" x14ac:dyDescent="0.2">
      <c r="A1" s="39"/>
      <c r="B1" s="40" t="s">
        <v>110</v>
      </c>
      <c r="C1" s="39"/>
      <c r="D1" s="39"/>
      <c r="E1" s="39"/>
      <c r="F1" s="39"/>
      <c r="G1" s="39"/>
      <c r="H1" s="39"/>
      <c r="I1" s="39"/>
      <c r="J1" s="39"/>
      <c r="K1" s="39"/>
      <c r="L1" s="81">
        <f ca="1">TODAY()</f>
        <v>43370</v>
      </c>
      <c r="M1" s="1"/>
      <c r="N1" s="1"/>
      <c r="O1" s="1"/>
    </row>
    <row r="2" spans="1:18" ht="38" customHeight="1" x14ac:dyDescent="0.2">
      <c r="A2" s="39"/>
      <c r="B2" s="41" t="s">
        <v>18</v>
      </c>
      <c r="C2" s="42" t="s">
        <v>13</v>
      </c>
      <c r="D2" s="42" t="s">
        <v>14</v>
      </c>
      <c r="E2" s="42" t="s">
        <v>13</v>
      </c>
      <c r="F2" s="42" t="s">
        <v>14</v>
      </c>
      <c r="G2" s="43" t="s">
        <v>15</v>
      </c>
      <c r="H2" s="44" t="s">
        <v>32</v>
      </c>
      <c r="I2" s="44" t="s">
        <v>16</v>
      </c>
      <c r="J2" s="44" t="s">
        <v>31</v>
      </c>
      <c r="K2" s="44" t="s">
        <v>16</v>
      </c>
      <c r="L2" s="45" t="s">
        <v>17</v>
      </c>
      <c r="M2" s="1"/>
      <c r="N2" s="2" t="s">
        <v>47</v>
      </c>
      <c r="O2" s="1"/>
      <c r="P2" s="73">
        <f>L26</f>
        <v>5304</v>
      </c>
    </row>
    <row r="3" spans="1:18" x14ac:dyDescent="0.2">
      <c r="A3" s="39"/>
      <c r="B3" s="46" t="s">
        <v>23</v>
      </c>
      <c r="C3" s="47" t="s">
        <v>99</v>
      </c>
      <c r="D3" s="47" t="s">
        <v>22</v>
      </c>
      <c r="E3" s="47"/>
      <c r="F3" s="47"/>
      <c r="G3" s="66">
        <v>3</v>
      </c>
      <c r="H3" s="67">
        <v>3</v>
      </c>
      <c r="I3" s="84">
        <v>34</v>
      </c>
      <c r="J3" s="68"/>
      <c r="K3" s="82">
        <v>23</v>
      </c>
      <c r="L3" s="69">
        <f>H3*I3+J3*K3</f>
        <v>102</v>
      </c>
      <c r="M3" s="1"/>
      <c r="N3" s="2" t="s">
        <v>77</v>
      </c>
      <c r="O3" s="75">
        <v>1</v>
      </c>
      <c r="P3" s="4">
        <f>11/365*L26*O3</f>
        <v>159.84657534246577</v>
      </c>
      <c r="Q3" s="1" t="s">
        <v>78</v>
      </c>
    </row>
    <row r="4" spans="1:18" x14ac:dyDescent="0.2">
      <c r="A4" s="39"/>
      <c r="B4" s="46" t="s">
        <v>33</v>
      </c>
      <c r="C4" s="47"/>
      <c r="D4" s="47"/>
      <c r="E4" s="47"/>
      <c r="F4" s="47"/>
      <c r="G4" s="66"/>
      <c r="H4" s="67"/>
      <c r="I4" s="84">
        <v>34</v>
      </c>
      <c r="J4" s="68"/>
      <c r="K4" s="82">
        <v>23</v>
      </c>
      <c r="L4" s="69">
        <f t="shared" ref="L4:L23" si="0">H4*I4+J4*K4</f>
        <v>0</v>
      </c>
      <c r="M4" s="1"/>
      <c r="N4" s="2" t="s">
        <v>21</v>
      </c>
      <c r="O4" s="5">
        <f>6*20</f>
        <v>120</v>
      </c>
      <c r="P4" s="4">
        <f>O4*Q4</f>
        <v>4080</v>
      </c>
      <c r="Q4" s="48">
        <v>34</v>
      </c>
    </row>
    <row r="5" spans="1:18" x14ac:dyDescent="0.2">
      <c r="A5" s="39"/>
      <c r="B5" s="46" t="s">
        <v>68</v>
      </c>
      <c r="C5" s="47"/>
      <c r="D5" s="47"/>
      <c r="E5" s="47"/>
      <c r="F5" s="47"/>
      <c r="G5" s="66"/>
      <c r="H5" s="67"/>
      <c r="I5" s="84">
        <v>34</v>
      </c>
      <c r="J5" s="68"/>
      <c r="K5" s="83">
        <v>32</v>
      </c>
      <c r="L5" s="69">
        <f t="shared" si="0"/>
        <v>0</v>
      </c>
      <c r="M5" s="4">
        <f>SUM(L3:L5)</f>
        <v>102</v>
      </c>
      <c r="N5" s="2" t="s">
        <v>30</v>
      </c>
      <c r="O5" s="5">
        <v>7</v>
      </c>
      <c r="P5" s="4">
        <f>O5/365*L26*(1-Q10)</f>
        <v>20.344109589041093</v>
      </c>
      <c r="Q5" s="1"/>
    </row>
    <row r="6" spans="1:18" x14ac:dyDescent="0.2">
      <c r="A6" s="39"/>
      <c r="B6" s="46" t="s">
        <v>24</v>
      </c>
      <c r="C6" s="47"/>
      <c r="D6" s="47"/>
      <c r="E6" s="47"/>
      <c r="F6" s="47"/>
      <c r="G6" s="66"/>
      <c r="H6" s="67"/>
      <c r="I6" s="84">
        <v>34</v>
      </c>
      <c r="J6" s="68"/>
      <c r="K6" s="83">
        <v>32</v>
      </c>
      <c r="L6" s="69">
        <f t="shared" si="0"/>
        <v>0</v>
      </c>
      <c r="M6" s="1"/>
      <c r="N6" s="2" t="s">
        <v>75</v>
      </c>
      <c r="O6" s="7">
        <f>8*2*12</f>
        <v>192</v>
      </c>
      <c r="P6" s="4">
        <f>O6*Q6</f>
        <v>6528</v>
      </c>
      <c r="Q6" s="48">
        <v>34</v>
      </c>
    </row>
    <row r="7" spans="1:18" x14ac:dyDescent="0.2">
      <c r="A7" s="39"/>
      <c r="B7" s="46" t="s">
        <v>34</v>
      </c>
      <c r="C7" s="47"/>
      <c r="D7" s="47"/>
      <c r="E7" s="47"/>
      <c r="F7" s="47"/>
      <c r="G7" s="66"/>
      <c r="H7" s="67"/>
      <c r="I7" s="84">
        <v>34</v>
      </c>
      <c r="J7" s="68"/>
      <c r="K7" s="83">
        <v>32</v>
      </c>
      <c r="L7" s="69">
        <f t="shared" si="0"/>
        <v>0</v>
      </c>
      <c r="M7" s="4"/>
      <c r="N7" s="2" t="s">
        <v>76</v>
      </c>
      <c r="O7" s="7">
        <f>4*6*3</f>
        <v>72</v>
      </c>
      <c r="P7" s="4">
        <f>O7*Q7</f>
        <v>2448</v>
      </c>
      <c r="Q7" s="48">
        <v>34</v>
      </c>
    </row>
    <row r="8" spans="1:18" x14ac:dyDescent="0.2">
      <c r="A8" s="39"/>
      <c r="B8" s="46" t="s">
        <v>69</v>
      </c>
      <c r="C8" s="47"/>
      <c r="D8" s="47"/>
      <c r="E8" s="47"/>
      <c r="F8" s="49"/>
      <c r="G8" s="66"/>
      <c r="H8" s="67"/>
      <c r="I8" s="84">
        <v>34</v>
      </c>
      <c r="J8" s="68"/>
      <c r="K8" s="83">
        <v>32</v>
      </c>
      <c r="L8" s="69">
        <f t="shared" si="0"/>
        <v>0</v>
      </c>
      <c r="M8" s="4">
        <f>SUM(L6:L8)</f>
        <v>0</v>
      </c>
      <c r="N8" s="2" t="s">
        <v>12</v>
      </c>
      <c r="P8" s="65"/>
      <c r="Q8" s="1"/>
    </row>
    <row r="9" spans="1:18" x14ac:dyDescent="0.2">
      <c r="A9" s="39"/>
      <c r="B9" s="46" t="s">
        <v>25</v>
      </c>
      <c r="C9" s="49"/>
      <c r="D9" s="49"/>
      <c r="E9" s="49"/>
      <c r="F9" s="49"/>
      <c r="G9" s="66"/>
      <c r="H9" s="67"/>
      <c r="I9" s="85">
        <v>45</v>
      </c>
      <c r="J9" s="68"/>
      <c r="K9" s="83">
        <v>32</v>
      </c>
      <c r="L9" s="69">
        <f t="shared" si="0"/>
        <v>0</v>
      </c>
      <c r="M9" s="1"/>
      <c r="N9" s="1"/>
      <c r="O9" s="3"/>
      <c r="P9" s="9">
        <f>SUM(P2:P8)</f>
        <v>18540.190684931506</v>
      </c>
      <c r="Q9" s="1"/>
    </row>
    <row r="10" spans="1:18" x14ac:dyDescent="0.2">
      <c r="A10" s="39"/>
      <c r="B10" s="46" t="s">
        <v>35</v>
      </c>
      <c r="C10" s="49"/>
      <c r="D10" s="49"/>
      <c r="E10" s="49"/>
      <c r="F10" s="49"/>
      <c r="G10" s="66"/>
      <c r="H10" s="67"/>
      <c r="I10" s="85">
        <v>45</v>
      </c>
      <c r="J10" s="68"/>
      <c r="K10" s="83">
        <v>32</v>
      </c>
      <c r="L10" s="69">
        <f t="shared" si="0"/>
        <v>0</v>
      </c>
      <c r="M10" s="4"/>
      <c r="N10" s="2" t="s">
        <v>1</v>
      </c>
      <c r="O10" s="10" t="s">
        <v>5</v>
      </c>
      <c r="P10" s="8">
        <f>P9*4/52*(1-Q10)</f>
        <v>285.23370284510003</v>
      </c>
      <c r="Q10" s="86">
        <v>0.8</v>
      </c>
      <c r="R10" t="s">
        <v>101</v>
      </c>
    </row>
    <row r="11" spans="1:18" x14ac:dyDescent="0.2">
      <c r="A11" s="39"/>
      <c r="B11" s="46" t="s">
        <v>70</v>
      </c>
      <c r="C11" s="49"/>
      <c r="D11" s="49"/>
      <c r="E11" s="49"/>
      <c r="F11" s="49"/>
      <c r="G11" s="66"/>
      <c r="H11" s="67"/>
      <c r="I11" s="85">
        <v>45</v>
      </c>
      <c r="J11" s="68"/>
      <c r="K11" s="83">
        <v>32</v>
      </c>
      <c r="L11" s="69">
        <f t="shared" si="0"/>
        <v>0</v>
      </c>
      <c r="M11" s="74">
        <f>SUM(L9:L11)</f>
        <v>0</v>
      </c>
      <c r="N11" s="2" t="s">
        <v>41</v>
      </c>
      <c r="O11" s="10" t="s">
        <v>42</v>
      </c>
      <c r="P11" s="8">
        <f>P9/1/52*(1-Q10)</f>
        <v>71.308425711275007</v>
      </c>
      <c r="Q11" s="1"/>
    </row>
    <row r="12" spans="1:18" x14ac:dyDescent="0.2">
      <c r="A12" s="39"/>
      <c r="B12" s="46" t="s">
        <v>26</v>
      </c>
      <c r="C12" s="49"/>
      <c r="D12" s="49"/>
      <c r="E12" s="49"/>
      <c r="F12" s="49"/>
      <c r="G12" s="66"/>
      <c r="H12" s="67"/>
      <c r="I12" s="85">
        <v>56</v>
      </c>
      <c r="J12" s="68"/>
      <c r="K12" s="83">
        <v>32</v>
      </c>
      <c r="L12" s="69">
        <f t="shared" si="0"/>
        <v>0</v>
      </c>
      <c r="M12" s="1"/>
      <c r="N12" s="2" t="s">
        <v>67</v>
      </c>
      <c r="O12" s="10"/>
      <c r="P12" s="65"/>
      <c r="Q12" s="1"/>
    </row>
    <row r="13" spans="1:18" ht="17" thickBot="1" x14ac:dyDescent="0.25">
      <c r="A13" s="39"/>
      <c r="B13" s="46" t="s">
        <v>36</v>
      </c>
      <c r="C13" s="96"/>
      <c r="D13" s="96"/>
      <c r="E13" s="49"/>
      <c r="F13" s="49"/>
      <c r="G13" s="66"/>
      <c r="H13" s="67"/>
      <c r="I13" s="85">
        <v>56</v>
      </c>
      <c r="J13" s="68"/>
      <c r="K13" s="83">
        <v>32</v>
      </c>
      <c r="L13" s="69">
        <f t="shared" si="0"/>
        <v>0</v>
      </c>
      <c r="M13" s="4"/>
      <c r="N13" s="2"/>
      <c r="O13" s="11"/>
      <c r="P13" s="12">
        <f>SUM(P9:P12)</f>
        <v>18896.732813487881</v>
      </c>
      <c r="Q13" s="4"/>
    </row>
    <row r="14" spans="1:18" ht="17" thickTop="1" x14ac:dyDescent="0.2">
      <c r="A14" s="39"/>
      <c r="B14" s="46" t="s">
        <v>71</v>
      </c>
      <c r="C14" s="49"/>
      <c r="D14" s="49"/>
      <c r="E14" s="49"/>
      <c r="F14" s="49"/>
      <c r="G14" s="66"/>
      <c r="H14" s="67"/>
      <c r="I14" s="85">
        <v>56</v>
      </c>
      <c r="J14" s="68"/>
      <c r="K14" s="83">
        <v>32</v>
      </c>
      <c r="L14" s="69">
        <f t="shared" si="0"/>
        <v>0</v>
      </c>
      <c r="M14" s="74">
        <f>SUM(L12:L14)</f>
        <v>0</v>
      </c>
      <c r="N14" s="2"/>
      <c r="O14" s="11"/>
      <c r="P14" s="8"/>
      <c r="Q14" s="1"/>
    </row>
    <row r="15" spans="1:18" x14ac:dyDescent="0.2">
      <c r="A15" s="39"/>
      <c r="B15" s="46" t="s">
        <v>27</v>
      </c>
      <c r="C15" s="49"/>
      <c r="D15" s="49"/>
      <c r="E15" s="47"/>
      <c r="F15" s="47"/>
      <c r="G15" s="66"/>
      <c r="H15" s="67"/>
      <c r="I15" s="84">
        <v>34</v>
      </c>
      <c r="J15" s="68"/>
      <c r="K15" s="83">
        <v>32</v>
      </c>
      <c r="L15" s="69">
        <f t="shared" si="0"/>
        <v>0</v>
      </c>
      <c r="M15" s="1"/>
      <c r="N15" s="2" t="s">
        <v>0</v>
      </c>
      <c r="O15" s="13">
        <v>9.5000000000000001E-2</v>
      </c>
      <c r="P15" s="4">
        <f>O15*P13</f>
        <v>1795.1896172813488</v>
      </c>
      <c r="Q15" s="1"/>
    </row>
    <row r="16" spans="1:18" x14ac:dyDescent="0.2">
      <c r="A16" s="39"/>
      <c r="B16" s="46" t="s">
        <v>37</v>
      </c>
      <c r="C16" s="47"/>
      <c r="D16" s="47"/>
      <c r="E16" s="47"/>
      <c r="F16" s="47"/>
      <c r="G16" s="66"/>
      <c r="H16" s="67"/>
      <c r="I16" s="84">
        <v>34</v>
      </c>
      <c r="J16" s="68"/>
      <c r="K16" s="82">
        <v>23</v>
      </c>
      <c r="L16" s="69">
        <f t="shared" si="0"/>
        <v>0</v>
      </c>
      <c r="M16" s="4"/>
      <c r="N16" s="2" t="s">
        <v>3</v>
      </c>
      <c r="O16" s="14">
        <v>3.7690000000000001E-2</v>
      </c>
      <c r="P16" s="4">
        <f>O16*(P13+P15)</f>
        <v>779.8785564156924</v>
      </c>
      <c r="Q16" s="4"/>
    </row>
    <row r="17" spans="1:17" x14ac:dyDescent="0.2">
      <c r="A17" s="39"/>
      <c r="B17" s="46" t="s">
        <v>72</v>
      </c>
      <c r="C17" s="47"/>
      <c r="D17" s="47"/>
      <c r="E17" s="47"/>
      <c r="F17" s="47"/>
      <c r="G17" s="66"/>
      <c r="H17" s="67"/>
      <c r="I17" s="84">
        <v>34</v>
      </c>
      <c r="J17" s="68"/>
      <c r="K17" s="82">
        <v>23</v>
      </c>
      <c r="L17" s="69">
        <f t="shared" si="0"/>
        <v>0</v>
      </c>
      <c r="M17" s="74">
        <f>SUM(L15:L17)</f>
        <v>0</v>
      </c>
      <c r="N17" s="1"/>
      <c r="O17" s="1"/>
      <c r="P17" s="1"/>
      <c r="Q17" s="1"/>
    </row>
    <row r="18" spans="1:17" ht="17" thickBot="1" x14ac:dyDescent="0.25">
      <c r="A18" s="39"/>
      <c r="B18" s="46" t="s">
        <v>28</v>
      </c>
      <c r="C18" s="47"/>
      <c r="D18" s="47"/>
      <c r="E18" s="47"/>
      <c r="F18" s="47"/>
      <c r="G18" s="66"/>
      <c r="H18" s="67"/>
      <c r="I18" s="84">
        <v>34</v>
      </c>
      <c r="J18" s="68"/>
      <c r="K18" s="82">
        <v>23</v>
      </c>
      <c r="L18" s="69">
        <f t="shared" si="0"/>
        <v>0</v>
      </c>
      <c r="M18" s="1"/>
      <c r="N18" s="2" t="s">
        <v>4</v>
      </c>
      <c r="O18" s="1"/>
      <c r="P18" s="12">
        <f>SUM(P13:P16)</f>
        <v>21471.800987184924</v>
      </c>
      <c r="Q18" s="1"/>
    </row>
    <row r="19" spans="1:17" ht="17" thickTop="1" x14ac:dyDescent="0.2">
      <c r="A19" s="39"/>
      <c r="B19" s="46" t="s">
        <v>38</v>
      </c>
      <c r="C19" s="47"/>
      <c r="D19" s="47"/>
      <c r="E19" s="47"/>
      <c r="F19" s="47"/>
      <c r="G19" s="66"/>
      <c r="H19" s="67"/>
      <c r="I19" s="84">
        <v>34</v>
      </c>
      <c r="J19" s="68"/>
      <c r="K19" s="82">
        <v>23</v>
      </c>
      <c r="L19" s="69">
        <f t="shared" si="0"/>
        <v>0</v>
      </c>
      <c r="M19" s="4"/>
      <c r="N19" s="1"/>
      <c r="O19" s="1"/>
    </row>
    <row r="20" spans="1:17" x14ac:dyDescent="0.2">
      <c r="A20" s="39"/>
      <c r="B20" s="46" t="s">
        <v>73</v>
      </c>
      <c r="C20" s="47"/>
      <c r="D20" s="47"/>
      <c r="E20" s="47"/>
      <c r="F20" s="47"/>
      <c r="G20" s="66"/>
      <c r="H20" s="67"/>
      <c r="I20" s="84">
        <v>34</v>
      </c>
      <c r="J20" s="68"/>
      <c r="K20" s="82">
        <v>23</v>
      </c>
      <c r="L20" s="69">
        <f t="shared" si="0"/>
        <v>0</v>
      </c>
      <c r="M20" s="74">
        <f>SUM(L18:L20)</f>
        <v>0</v>
      </c>
      <c r="N20" s="1"/>
      <c r="O20" s="1"/>
    </row>
    <row r="21" spans="1:17" x14ac:dyDescent="0.2">
      <c r="A21" s="39"/>
      <c r="B21" s="46" t="s">
        <v>29</v>
      </c>
      <c r="C21" s="47"/>
      <c r="D21" s="47"/>
      <c r="E21" s="47"/>
      <c r="F21" s="47"/>
      <c r="G21" s="66"/>
      <c r="H21" s="67"/>
      <c r="I21" s="84">
        <v>34</v>
      </c>
      <c r="J21" s="68"/>
      <c r="K21" s="82">
        <v>23</v>
      </c>
      <c r="L21" s="69">
        <f t="shared" si="0"/>
        <v>0</v>
      </c>
      <c r="M21" s="1"/>
      <c r="N21" s="1"/>
      <c r="O21" s="1"/>
    </row>
    <row r="22" spans="1:17" x14ac:dyDescent="0.2">
      <c r="A22" s="39"/>
      <c r="B22" s="46" t="s">
        <v>39</v>
      </c>
      <c r="C22" s="47"/>
      <c r="D22" s="47"/>
      <c r="E22" s="47"/>
      <c r="F22" s="47"/>
      <c r="G22" s="66"/>
      <c r="H22" s="67"/>
      <c r="I22" s="84">
        <v>34</v>
      </c>
      <c r="J22" s="68"/>
      <c r="K22" s="82">
        <v>23</v>
      </c>
      <c r="L22" s="69">
        <f t="shared" si="0"/>
        <v>0</v>
      </c>
      <c r="M22" s="4"/>
      <c r="N22" s="1"/>
      <c r="O22" s="1"/>
    </row>
    <row r="23" spans="1:17" x14ac:dyDescent="0.2">
      <c r="A23" s="39"/>
      <c r="B23" s="46" t="s">
        <v>74</v>
      </c>
      <c r="C23" s="47"/>
      <c r="D23" s="47"/>
      <c r="E23" s="47"/>
      <c r="F23" s="47"/>
      <c r="G23" s="66"/>
      <c r="H23" s="67"/>
      <c r="I23" s="84">
        <v>34</v>
      </c>
      <c r="J23" s="68"/>
      <c r="K23" s="82">
        <v>23</v>
      </c>
      <c r="L23" s="69">
        <f t="shared" si="0"/>
        <v>0</v>
      </c>
      <c r="M23" s="4">
        <f>SUM(L21:L23)</f>
        <v>0</v>
      </c>
      <c r="N23" s="1"/>
      <c r="O23" s="1"/>
    </row>
    <row r="24" spans="1:17" x14ac:dyDescent="0.2">
      <c r="A24" s="39"/>
      <c r="B24" s="50" t="s">
        <v>19</v>
      </c>
      <c r="C24" s="51"/>
      <c r="D24" s="51"/>
      <c r="E24" s="51"/>
      <c r="F24" s="51"/>
      <c r="G24" s="52"/>
      <c r="H24" s="52"/>
      <c r="I24" s="53"/>
      <c r="J24" s="53"/>
      <c r="K24" s="53" t="s">
        <v>20</v>
      </c>
      <c r="L24" s="70"/>
      <c r="M24" s="2" t="s">
        <v>100</v>
      </c>
      <c r="N24" s="1"/>
      <c r="O24" s="1"/>
    </row>
    <row r="25" spans="1:17" ht="17" thickBot="1" x14ac:dyDescent="0.25">
      <c r="A25" s="39"/>
      <c r="B25" s="54"/>
      <c r="C25" s="55"/>
      <c r="D25" s="55"/>
      <c r="E25" s="55"/>
      <c r="F25" s="55"/>
      <c r="G25" s="56">
        <f>SUM(G3:G23)</f>
        <v>3</v>
      </c>
      <c r="H25" s="56">
        <f>SUM(H3:H23)</f>
        <v>3</v>
      </c>
      <c r="I25" s="51"/>
      <c r="J25" s="57">
        <f>SUM(J3:J22)</f>
        <v>0</v>
      </c>
      <c r="K25" s="51"/>
      <c r="L25" s="71">
        <f>SUM(L3:L24)</f>
        <v>102</v>
      </c>
      <c r="M25" s="4">
        <f>L25*2</f>
        <v>204</v>
      </c>
      <c r="N25" s="1"/>
      <c r="O25" s="1"/>
    </row>
    <row r="26" spans="1:17" ht="17" customHeight="1" thickTop="1" x14ac:dyDescent="0.2">
      <c r="A26" s="39"/>
      <c r="B26" s="39"/>
      <c r="C26" s="39"/>
      <c r="D26" s="39"/>
      <c r="E26" s="39"/>
      <c r="F26" s="39"/>
      <c r="G26" s="39"/>
      <c r="H26" s="39"/>
      <c r="I26" s="39"/>
      <c r="J26" s="58" t="s">
        <v>2</v>
      </c>
      <c r="K26" s="59">
        <v>52</v>
      </c>
      <c r="L26" s="60">
        <f>L25*K26</f>
        <v>5304</v>
      </c>
      <c r="N26" s="1"/>
      <c r="O26" s="1"/>
    </row>
    <row r="27" spans="1:17" ht="17" customHeight="1" x14ac:dyDescent="0.2">
      <c r="A27" s="39"/>
      <c r="B27" s="39"/>
      <c r="C27" s="39"/>
      <c r="D27" s="39"/>
      <c r="E27" s="39"/>
      <c r="F27" s="39"/>
      <c r="G27" s="39"/>
      <c r="H27" s="39"/>
      <c r="I27" s="39"/>
      <c r="J27" s="58" t="s">
        <v>40</v>
      </c>
      <c r="K27" s="39"/>
      <c r="L27" s="72">
        <f>P18/L26</f>
        <v>4.0482279387603555</v>
      </c>
      <c r="M27" s="1"/>
      <c r="N27" s="1"/>
      <c r="O27" s="1"/>
    </row>
    <row r="28" spans="1:17" ht="17" customHeight="1" x14ac:dyDescent="0.2">
      <c r="A28" s="39"/>
      <c r="B28" s="39"/>
      <c r="C28" s="39"/>
      <c r="D28" s="39"/>
      <c r="E28" s="39"/>
      <c r="F28" s="39"/>
      <c r="G28" s="39"/>
      <c r="H28" s="39"/>
      <c r="I28" s="39"/>
      <c r="J28" s="58"/>
      <c r="K28" s="59"/>
      <c r="L28" s="92">
        <f>L26*L27</f>
        <v>21471.800987184924</v>
      </c>
      <c r="M28" s="1"/>
      <c r="N28" s="1"/>
      <c r="O28" s="1"/>
    </row>
    <row r="29" spans="1:17" ht="17" customHeight="1" x14ac:dyDescent="0.2">
      <c r="B29" s="1"/>
      <c r="C29" s="1"/>
      <c r="D29" s="1"/>
      <c r="E29" s="1"/>
      <c r="F29" s="1"/>
      <c r="G29" s="1"/>
      <c r="H29" s="1"/>
      <c r="I29" s="1"/>
      <c r="J29" s="2"/>
      <c r="K29" s="3"/>
      <c r="L29" s="4"/>
      <c r="M29" s="1"/>
      <c r="N29" s="1"/>
      <c r="O29" s="1"/>
    </row>
    <row r="30" spans="1:17" ht="17" customHeight="1" x14ac:dyDescent="0.2">
      <c r="B30" s="1"/>
      <c r="C30" s="1"/>
      <c r="D30" s="1"/>
      <c r="E30" s="1"/>
      <c r="F30" s="1"/>
      <c r="G30" s="1"/>
      <c r="H30" s="1"/>
      <c r="I30" s="1"/>
      <c r="J30" s="2"/>
      <c r="K30" s="3"/>
      <c r="L30" s="4"/>
      <c r="M30" s="1"/>
      <c r="N30" s="1"/>
      <c r="O30" s="1"/>
    </row>
    <row r="31" spans="1:17" x14ac:dyDescent="0.2">
      <c r="B31" s="1"/>
      <c r="C31" s="1"/>
      <c r="D31" s="1"/>
      <c r="E31" s="1"/>
      <c r="F31" s="1"/>
      <c r="G31" s="1"/>
      <c r="H31" s="1"/>
      <c r="I31" s="1"/>
    </row>
    <row r="32" spans="1:17" x14ac:dyDescent="0.2">
      <c r="B32" s="1"/>
      <c r="C32" s="1"/>
      <c r="D32" s="1"/>
      <c r="E32" s="1"/>
      <c r="F32" s="1"/>
      <c r="G32" s="1"/>
      <c r="H32" s="1"/>
      <c r="I32" s="1"/>
    </row>
    <row r="33" spans="2:15" x14ac:dyDescent="0.2">
      <c r="B33" s="1"/>
      <c r="C33" s="1"/>
      <c r="D33" s="1"/>
      <c r="E33" s="1"/>
      <c r="F33" s="1"/>
      <c r="G33" s="1"/>
      <c r="H33" s="1"/>
      <c r="I33" s="1"/>
    </row>
    <row r="34" spans="2:15" x14ac:dyDescent="0.2">
      <c r="B34" s="1"/>
      <c r="C34" s="1"/>
      <c r="D34" s="1"/>
      <c r="E34" s="6"/>
      <c r="F34" s="6"/>
      <c r="G34" s="6"/>
      <c r="H34" s="2"/>
    </row>
    <row r="35" spans="2:15" x14ac:dyDescent="0.2">
      <c r="B35" s="1"/>
      <c r="C35" s="1"/>
      <c r="D35" s="1"/>
      <c r="E35" s="6"/>
      <c r="F35" s="8"/>
      <c r="G35" s="8"/>
      <c r="H35" s="1"/>
    </row>
    <row r="36" spans="2:15" x14ac:dyDescent="0.2">
      <c r="B36" s="1"/>
      <c r="C36" s="1"/>
      <c r="D36" s="1"/>
      <c r="E36" s="8"/>
      <c r="F36" s="6"/>
      <c r="G36" s="6"/>
      <c r="H36" s="1"/>
      <c r="I36" s="1"/>
    </row>
    <row r="37" spans="2:15" x14ac:dyDescent="0.2">
      <c r="B37" s="1"/>
      <c r="C37" s="1"/>
      <c r="D37" s="1"/>
      <c r="E37" s="6"/>
      <c r="F37" s="8"/>
      <c r="G37" s="8"/>
      <c r="H37" s="1"/>
      <c r="I37" s="1"/>
    </row>
    <row r="38" spans="2:15" x14ac:dyDescent="0.2">
      <c r="B38" s="1"/>
      <c r="C38" s="1"/>
      <c r="D38" s="1"/>
      <c r="E38" s="6"/>
      <c r="F38" s="8"/>
      <c r="G38" s="8"/>
      <c r="H38" s="1"/>
      <c r="I38" s="1"/>
    </row>
    <row r="39" spans="2:15" x14ac:dyDescent="0.2">
      <c r="B39" s="1"/>
      <c r="C39" s="1"/>
      <c r="D39" s="1"/>
      <c r="E39" s="6"/>
      <c r="F39" s="8"/>
      <c r="G39" s="8"/>
      <c r="H39" s="1"/>
      <c r="I39" s="1"/>
    </row>
    <row r="40" spans="2:15" x14ac:dyDescent="0.2">
      <c r="B40" s="1"/>
      <c r="C40" s="1"/>
      <c r="D40" s="1"/>
      <c r="E40" s="6"/>
      <c r="F40" s="8"/>
      <c r="G40" s="8"/>
      <c r="H40" s="1"/>
      <c r="I40" s="1"/>
    </row>
    <row r="41" spans="2:15" x14ac:dyDescent="0.2">
      <c r="B41" s="1"/>
      <c r="C41" s="1"/>
      <c r="D41" s="1"/>
      <c r="E41" s="1"/>
      <c r="F41" s="1"/>
      <c r="G41" s="1"/>
      <c r="H41" s="1"/>
      <c r="I41" s="1"/>
    </row>
    <row r="42" spans="2:15" x14ac:dyDescent="0.2">
      <c r="B42" s="1"/>
      <c r="C42" s="1"/>
      <c r="D42" s="1"/>
      <c r="E42" s="1"/>
      <c r="F42" s="1"/>
      <c r="G42" s="1"/>
      <c r="H42" s="1"/>
      <c r="I42" s="1"/>
    </row>
    <row r="43" spans="2:15" x14ac:dyDescent="0.2">
      <c r="B43" s="1"/>
      <c r="C43" s="1"/>
      <c r="D43" s="1"/>
      <c r="E43" s="1"/>
      <c r="F43" s="1"/>
      <c r="G43" s="1"/>
      <c r="H43" s="1"/>
      <c r="I43" s="1"/>
    </row>
    <row r="44" spans="2:15" x14ac:dyDescent="0.2">
      <c r="B44" s="1"/>
      <c r="C44" s="1"/>
      <c r="D44" s="1"/>
      <c r="E44" s="1"/>
      <c r="F44" s="1"/>
      <c r="G44" s="1"/>
      <c r="H44" s="1"/>
      <c r="I44" s="1"/>
    </row>
    <row r="45" spans="2:15" x14ac:dyDescent="0.2">
      <c r="B45" s="1"/>
      <c r="C45" s="1"/>
      <c r="D45" s="1"/>
      <c r="E45" s="1"/>
      <c r="F45" s="1"/>
      <c r="G45" s="1"/>
      <c r="H45" s="1"/>
      <c r="I45" s="1"/>
    </row>
    <row r="46" spans="2:15" x14ac:dyDescent="0.2"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1"/>
    </row>
    <row r="47" spans="2:15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8"/>
  <sheetViews>
    <sheetView zoomScale="140" zoomScaleNormal="150" zoomScalePageLayoutView="150" workbookViewId="0">
      <selection activeCell="E11" sqref="E11"/>
    </sheetView>
  </sheetViews>
  <sheetFormatPr baseColWidth="10" defaultRowHeight="16" x14ac:dyDescent="0.2"/>
  <cols>
    <col min="1" max="1" width="24" customWidth="1"/>
    <col min="2" max="2" width="23.33203125" customWidth="1"/>
    <col min="3" max="3" width="19" customWidth="1"/>
    <col min="4" max="4" width="18.5" customWidth="1"/>
    <col min="5" max="5" width="16" customWidth="1"/>
    <col min="6" max="6" width="18.5" customWidth="1"/>
  </cols>
  <sheetData>
    <row r="1" spans="1:6" x14ac:dyDescent="0.2">
      <c r="A1" s="81">
        <v>43242</v>
      </c>
      <c r="B1" s="139" t="s">
        <v>111</v>
      </c>
      <c r="C1" s="140"/>
      <c r="D1" s="140"/>
      <c r="E1" s="140"/>
      <c r="F1" s="141"/>
    </row>
    <row r="2" spans="1:6" ht="17" thickBot="1" x14ac:dyDescent="0.25">
      <c r="B2" s="97" t="s">
        <v>112</v>
      </c>
      <c r="C2" s="98" t="s">
        <v>112</v>
      </c>
      <c r="D2" s="98" t="s">
        <v>113</v>
      </c>
      <c r="E2" s="98" t="s">
        <v>114</v>
      </c>
      <c r="F2" s="98" t="s">
        <v>115</v>
      </c>
    </row>
    <row r="3" spans="1:6" ht="19" x14ac:dyDescent="0.25">
      <c r="A3" s="99" t="s">
        <v>116</v>
      </c>
      <c r="B3" s="100" t="s">
        <v>117</v>
      </c>
      <c r="C3" s="101" t="s">
        <v>118</v>
      </c>
      <c r="D3" s="101" t="s">
        <v>118</v>
      </c>
      <c r="E3" s="101" t="s">
        <v>118</v>
      </c>
      <c r="F3" s="102" t="s">
        <v>118</v>
      </c>
    </row>
    <row r="4" spans="1:6" ht="19" x14ac:dyDescent="0.25">
      <c r="A4" s="103" t="s">
        <v>119</v>
      </c>
      <c r="B4" s="104">
        <v>20.56</v>
      </c>
      <c r="C4" s="105">
        <v>23.13</v>
      </c>
      <c r="D4" s="105">
        <v>30.84</v>
      </c>
      <c r="E4" s="105">
        <v>41.12</v>
      </c>
      <c r="F4" s="106">
        <v>51.4</v>
      </c>
    </row>
    <row r="5" spans="1:6" ht="19" x14ac:dyDescent="0.25">
      <c r="A5" s="103" t="s">
        <v>120</v>
      </c>
      <c r="B5" s="107">
        <v>26</v>
      </c>
      <c r="C5" s="108">
        <v>29</v>
      </c>
      <c r="D5" s="108">
        <f>B5*1.5</f>
        <v>39</v>
      </c>
      <c r="E5" s="108">
        <f>B5*2</f>
        <v>52</v>
      </c>
      <c r="F5" s="109">
        <v>58</v>
      </c>
    </row>
    <row r="6" spans="1:6" ht="19" x14ac:dyDescent="0.25">
      <c r="A6" s="103" t="s">
        <v>121</v>
      </c>
      <c r="B6" s="110">
        <v>30</v>
      </c>
      <c r="C6" s="111">
        <v>34</v>
      </c>
      <c r="D6" s="111">
        <f>B6*1.5</f>
        <v>45</v>
      </c>
      <c r="E6" s="111">
        <v>56</v>
      </c>
      <c r="F6" s="112">
        <v>67</v>
      </c>
    </row>
    <row r="7" spans="1:6" ht="19" x14ac:dyDescent="0.25">
      <c r="A7" s="103" t="s">
        <v>122</v>
      </c>
      <c r="B7" s="113">
        <v>26</v>
      </c>
      <c r="C7" s="113">
        <v>29</v>
      </c>
      <c r="D7" s="114">
        <v>32</v>
      </c>
      <c r="E7" s="114">
        <v>43</v>
      </c>
      <c r="F7" s="115">
        <v>57</v>
      </c>
    </row>
    <row r="8" spans="1:6" ht="19" x14ac:dyDescent="0.25">
      <c r="A8" s="103" t="s">
        <v>123</v>
      </c>
      <c r="B8" s="116">
        <v>32</v>
      </c>
      <c r="C8" s="116">
        <v>35</v>
      </c>
      <c r="D8" s="117">
        <v>39</v>
      </c>
      <c r="E8" s="117">
        <f>E5</f>
        <v>52</v>
      </c>
      <c r="F8" s="118">
        <v>67.5</v>
      </c>
    </row>
    <row r="9" spans="1:6" ht="20" thickBot="1" x14ac:dyDescent="0.3">
      <c r="A9" s="119" t="s">
        <v>124</v>
      </c>
      <c r="B9" s="120">
        <v>34</v>
      </c>
      <c r="C9" s="121">
        <v>37</v>
      </c>
      <c r="D9" s="121">
        <v>45</v>
      </c>
      <c r="E9" s="121">
        <v>56</v>
      </c>
      <c r="F9" s="122">
        <v>74</v>
      </c>
    </row>
    <row r="10" spans="1:6" ht="19" x14ac:dyDescent="0.25">
      <c r="A10" s="123"/>
      <c r="B10" s="124"/>
      <c r="C10" s="125" t="s">
        <v>128</v>
      </c>
      <c r="D10" s="126"/>
      <c r="E10" s="125" t="s">
        <v>129</v>
      </c>
      <c r="F10" s="126"/>
    </row>
    <row r="11" spans="1:6" ht="20" thickBot="1" x14ac:dyDescent="0.3">
      <c r="A11" s="123"/>
      <c r="B11" s="124"/>
      <c r="C11" s="127" t="s">
        <v>125</v>
      </c>
      <c r="D11" s="128" t="s">
        <v>126</v>
      </c>
      <c r="E11" s="129" t="s">
        <v>125</v>
      </c>
      <c r="F11" s="128" t="s">
        <v>126</v>
      </c>
    </row>
    <row r="12" spans="1:6" ht="20" thickBot="1" x14ac:dyDescent="0.3">
      <c r="A12" s="123"/>
      <c r="B12" s="124"/>
      <c r="C12" s="130" t="s">
        <v>127</v>
      </c>
      <c r="D12" s="130" t="s">
        <v>127</v>
      </c>
      <c r="E12" s="130" t="s">
        <v>127</v>
      </c>
      <c r="F12" s="131" t="s">
        <v>127</v>
      </c>
    </row>
    <row r="13" spans="1:6" ht="20" thickBot="1" x14ac:dyDescent="0.3">
      <c r="A13" s="123"/>
      <c r="B13" s="132" t="s">
        <v>119</v>
      </c>
      <c r="C13" s="113">
        <v>28.5</v>
      </c>
      <c r="D13" s="114">
        <v>32</v>
      </c>
      <c r="E13" s="114">
        <v>20</v>
      </c>
      <c r="F13" s="115">
        <v>29</v>
      </c>
    </row>
    <row r="14" spans="1:6" ht="19" x14ac:dyDescent="0.25">
      <c r="B14" s="132" t="s">
        <v>120</v>
      </c>
      <c r="C14" s="107">
        <v>29.5</v>
      </c>
      <c r="D14" s="108">
        <v>33</v>
      </c>
      <c r="E14" s="108">
        <v>21</v>
      </c>
      <c r="F14" s="109">
        <v>30</v>
      </c>
    </row>
    <row r="15" spans="1:6" ht="19" x14ac:dyDescent="0.25">
      <c r="B15" s="133" t="s">
        <v>121</v>
      </c>
      <c r="C15" s="110">
        <v>31.5</v>
      </c>
      <c r="D15" s="111">
        <v>35</v>
      </c>
      <c r="E15" s="111">
        <v>23</v>
      </c>
      <c r="F15" s="112">
        <v>32</v>
      </c>
    </row>
    <row r="16" spans="1:6" ht="19" x14ac:dyDescent="0.25">
      <c r="B16" s="134" t="s">
        <v>122</v>
      </c>
      <c r="C16" s="113">
        <v>29.5</v>
      </c>
      <c r="D16" s="114">
        <v>33</v>
      </c>
      <c r="E16" s="114">
        <f>E14</f>
        <v>21</v>
      </c>
      <c r="F16" s="115">
        <f>F14</f>
        <v>30</v>
      </c>
    </row>
    <row r="17" spans="2:6" ht="19" x14ac:dyDescent="0.25">
      <c r="B17" s="134" t="s">
        <v>123</v>
      </c>
      <c r="C17" s="116">
        <v>30.5</v>
      </c>
      <c r="D17" s="117">
        <v>34</v>
      </c>
      <c r="E17" s="117">
        <v>22</v>
      </c>
      <c r="F17" s="118">
        <v>31</v>
      </c>
    </row>
    <row r="18" spans="2:6" ht="20" thickBot="1" x14ac:dyDescent="0.3">
      <c r="B18" s="135" t="s">
        <v>124</v>
      </c>
      <c r="C18" s="120">
        <v>31.5</v>
      </c>
      <c r="D18" s="121">
        <v>35</v>
      </c>
      <c r="E18" s="121">
        <f>E15</f>
        <v>23</v>
      </c>
      <c r="F18" s="122">
        <f>F15</f>
        <v>32</v>
      </c>
    </row>
  </sheetData>
  <mergeCells count="1"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Budget</vt:lpstr>
      <vt:lpstr>2018-19 Salary Forecast</vt:lpstr>
      <vt:lpstr>Pay Scale</vt:lpstr>
      <vt:lpstr>Budget!Print_Area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Luci Rix</cp:lastModifiedBy>
  <dcterms:created xsi:type="dcterms:W3CDTF">2017-07-17T01:26:18Z</dcterms:created>
  <dcterms:modified xsi:type="dcterms:W3CDTF">2018-09-27T06:27:14Z</dcterms:modified>
</cp:coreProperties>
</file>